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7970" windowHeight="10965"/>
  </bookViews>
  <sheets>
    <sheet name="Сводка затрат" sheetId="3" r:id="rId1"/>
    <sheet name="НМЦ лота &quot;под ключ&quot;" sheetId="5" state="hidden" r:id="rId2"/>
    <sheet name="НМЦ лота на ПИР" sheetId="6" state="hidden" r:id="rId3"/>
    <sheet name="НМЦ лот на СМР" sheetId="7" state="hidden" r:id="rId4"/>
  </sheets>
  <definedNames>
    <definedName name="_xlnm.Print_Area" localSheetId="0">'Сводка затрат'!$A$1:$R$51</definedName>
  </definedNames>
  <calcPr calcId="162913"/>
</workbook>
</file>

<file path=xl/calcChain.xml><?xml version="1.0" encoding="utf-8"?>
<calcChain xmlns="http://schemas.openxmlformats.org/spreadsheetml/2006/main">
  <c r="Q34" i="3" l="1"/>
  <c r="R34" i="3"/>
  <c r="O20" i="3"/>
  <c r="K21" i="3"/>
  <c r="G27" i="7"/>
  <c r="F22" i="7"/>
  <c r="F23" i="7"/>
  <c r="E21" i="7"/>
  <c r="F21" i="7"/>
  <c r="G21" i="7"/>
  <c r="H16" i="7"/>
  <c r="H17" i="7"/>
  <c r="F28" i="7"/>
  <c r="G28" i="7"/>
  <c r="G29" i="7"/>
  <c r="D21" i="7"/>
  <c r="H20" i="7"/>
  <c r="G17" i="7"/>
  <c r="G22" i="7"/>
  <c r="F17" i="7"/>
  <c r="E17" i="7"/>
  <c r="H15" i="7"/>
  <c r="N26" i="3"/>
  <c r="O26" i="3"/>
  <c r="J26" i="3"/>
  <c r="L34" i="3"/>
  <c r="L35" i="3"/>
  <c r="M35" i="3"/>
  <c r="F14" i="6"/>
  <c r="F15" i="6" s="1"/>
  <c r="F17" i="6" s="1"/>
  <c r="F19" i="6" s="1"/>
  <c r="L25" i="3"/>
  <c r="Q25" i="3"/>
  <c r="R25" i="3"/>
  <c r="L24" i="3"/>
  <c r="Q24" i="3"/>
  <c r="I21" i="3"/>
  <c r="N21" i="3"/>
  <c r="J20" i="3"/>
  <c r="I20" i="3"/>
  <c r="N20" i="3"/>
  <c r="M20" i="3"/>
  <c r="E26" i="3"/>
  <c r="E21" i="3"/>
  <c r="J21" i="3"/>
  <c r="H20" i="3"/>
  <c r="I19" i="5"/>
  <c r="H19" i="5"/>
  <c r="G19" i="5"/>
  <c r="F19" i="5"/>
  <c r="E19" i="5"/>
  <c r="P26" i="3"/>
  <c r="K26" i="3"/>
  <c r="K27" i="3"/>
  <c r="K32" i="3"/>
  <c r="K36" i="3"/>
  <c r="I26" i="3"/>
  <c r="F26" i="3"/>
  <c r="D26" i="3"/>
  <c r="H26" i="3"/>
  <c r="H24" i="3"/>
  <c r="Q22" i="3"/>
  <c r="L22" i="3"/>
  <c r="G22" i="3"/>
  <c r="G27" i="3"/>
  <c r="F22" i="3"/>
  <c r="F27" i="3"/>
  <c r="F32" i="3"/>
  <c r="F36" i="3"/>
  <c r="G35" i="3"/>
  <c r="H35" i="3"/>
  <c r="H34" i="3"/>
  <c r="E14" i="5"/>
  <c r="E18" i="5" s="1"/>
  <c r="E20" i="5" s="1"/>
  <c r="I22" i="3"/>
  <c r="K22" i="3"/>
  <c r="F14" i="5"/>
  <c r="F18" i="5" s="1"/>
  <c r="F20" i="5" s="1"/>
  <c r="F21" i="5" s="1"/>
  <c r="P21" i="3"/>
  <c r="P22" i="3"/>
  <c r="P27" i="3"/>
  <c r="P32" i="3"/>
  <c r="P36" i="3"/>
  <c r="G26" i="3"/>
  <c r="H25" i="3"/>
  <c r="D22" i="3"/>
  <c r="Q35" i="3"/>
  <c r="R35" i="3"/>
  <c r="D27" i="3"/>
  <c r="D32" i="3"/>
  <c r="E22" i="7"/>
  <c r="E23" i="7"/>
  <c r="E24" i="7"/>
  <c r="E27" i="7"/>
  <c r="E29" i="7"/>
  <c r="D17" i="7"/>
  <c r="D22" i="7"/>
  <c r="H22" i="7"/>
  <c r="H21" i="7"/>
  <c r="H19" i="7"/>
  <c r="D36" i="3"/>
  <c r="D38" i="3"/>
  <c r="M25" i="3"/>
  <c r="H14" i="5"/>
  <c r="H18" i="5" s="1"/>
  <c r="H20" i="5" s="1"/>
  <c r="H21" i="5" s="1"/>
  <c r="I27" i="3"/>
  <c r="I32" i="3"/>
  <c r="F38" i="3"/>
  <c r="F39" i="3"/>
  <c r="R21" i="3"/>
  <c r="I36" i="3"/>
  <c r="J22" i="3"/>
  <c r="O21" i="3"/>
  <c r="M21" i="3"/>
  <c r="R24" i="3"/>
  <c r="Q26" i="3"/>
  <c r="E30" i="7"/>
  <c r="E31" i="7"/>
  <c r="O22" i="3"/>
  <c r="O27" i="3"/>
  <c r="O32" i="3"/>
  <c r="O36" i="3"/>
  <c r="G30" i="7"/>
  <c r="G31" i="7"/>
  <c r="D39" i="3"/>
  <c r="P39" i="3"/>
  <c r="P41" i="3"/>
  <c r="P38" i="3"/>
  <c r="R20" i="3"/>
  <c r="N22" i="3"/>
  <c r="K38" i="3"/>
  <c r="K39" i="3"/>
  <c r="K44" i="3"/>
  <c r="G23" i="7"/>
  <c r="G24" i="7"/>
  <c r="L26" i="3"/>
  <c r="F24" i="7"/>
  <c r="F27" i="7"/>
  <c r="F29" i="7"/>
  <c r="G14" i="5"/>
  <c r="G18" i="5" s="1"/>
  <c r="G20" i="5" s="1"/>
  <c r="G21" i="5" s="1"/>
  <c r="M34" i="3"/>
  <c r="D23" i="7"/>
  <c r="H23" i="7"/>
  <c r="H21" i="3"/>
  <c r="E22" i="3"/>
  <c r="D24" i="7"/>
  <c r="I14" i="5"/>
  <c r="I18" i="5" s="1"/>
  <c r="I20" i="5" s="1"/>
  <c r="I21" i="5" s="1"/>
  <c r="M24" i="3"/>
  <c r="F43" i="3"/>
  <c r="F44" i="3"/>
  <c r="J27" i="3"/>
  <c r="J32" i="3"/>
  <c r="M22" i="3"/>
  <c r="E27" i="3"/>
  <c r="H22" i="3"/>
  <c r="N27" i="3"/>
  <c r="N32" i="3"/>
  <c r="R22" i="3"/>
  <c r="D43" i="3"/>
  <c r="D44" i="3"/>
  <c r="I38" i="3"/>
  <c r="M26" i="3"/>
  <c r="L27" i="3"/>
  <c r="Q27" i="3"/>
  <c r="R26" i="3"/>
  <c r="P43" i="3"/>
  <c r="P44" i="3"/>
  <c r="F30" i="7"/>
  <c r="F31" i="7"/>
  <c r="H24" i="7"/>
  <c r="D27" i="7"/>
  <c r="O38" i="3"/>
  <c r="O39" i="3"/>
  <c r="O41" i="3"/>
  <c r="O43" i="3"/>
  <c r="O44" i="3"/>
  <c r="E32" i="3"/>
  <c r="H27" i="3"/>
  <c r="M27" i="3"/>
  <c r="J36" i="3"/>
  <c r="R27" i="3"/>
  <c r="H27" i="7"/>
  <c r="D29" i="7"/>
  <c r="I39" i="3"/>
  <c r="N36" i="3"/>
  <c r="G30" i="3"/>
  <c r="H30" i="3"/>
  <c r="G29" i="3"/>
  <c r="N38" i="3"/>
  <c r="N39" i="3"/>
  <c r="J39" i="3"/>
  <c r="J44" i="3"/>
  <c r="J38" i="3"/>
  <c r="E36" i="3"/>
  <c r="I44" i="3"/>
  <c r="H29" i="7"/>
  <c r="D30" i="7"/>
  <c r="H30" i="7"/>
  <c r="L30" i="3"/>
  <c r="M30" i="3"/>
  <c r="L29" i="3"/>
  <c r="Q29" i="3"/>
  <c r="Q30" i="3"/>
  <c r="R30" i="3"/>
  <c r="N41" i="3"/>
  <c r="R29" i="3"/>
  <c r="Q31" i="3"/>
  <c r="M29" i="3"/>
  <c r="L31" i="3"/>
  <c r="E39" i="3"/>
  <c r="E38" i="3"/>
  <c r="H29" i="3"/>
  <c r="G31" i="3"/>
  <c r="D31" i="7"/>
  <c r="H31" i="7"/>
  <c r="R31" i="3"/>
  <c r="Q32" i="3"/>
  <c r="E43" i="3"/>
  <c r="E44" i="3"/>
  <c r="H31" i="3"/>
  <c r="G32" i="3"/>
  <c r="N43" i="3"/>
  <c r="N44" i="3"/>
  <c r="M31" i="3"/>
  <c r="L32" i="3"/>
  <c r="G36" i="3"/>
  <c r="H32" i="3"/>
  <c r="Q36" i="3"/>
  <c r="R32" i="3"/>
  <c r="L36" i="3"/>
  <c r="M32" i="3"/>
  <c r="G38" i="3"/>
  <c r="H38" i="3"/>
  <c r="H36" i="3"/>
  <c r="L38" i="3"/>
  <c r="M38" i="3"/>
  <c r="L39" i="3"/>
  <c r="M36" i="3"/>
  <c r="Q38" i="3"/>
  <c r="R38" i="3"/>
  <c r="Q39" i="3"/>
  <c r="R36" i="3"/>
  <c r="L44" i="3"/>
  <c r="M44" i="3"/>
  <c r="M39" i="3"/>
  <c r="Q41" i="3"/>
  <c r="R39" i="3"/>
  <c r="G39" i="3"/>
  <c r="Q43" i="3"/>
  <c r="R43" i="3"/>
  <c r="R41" i="3"/>
  <c r="G43" i="3"/>
  <c r="H43" i="3"/>
  <c r="G44" i="3"/>
  <c r="H44" i="3"/>
  <c r="H39" i="3"/>
  <c r="Q44" i="3"/>
  <c r="R44" i="3"/>
  <c r="E21" i="5" l="1"/>
  <c r="J21" i="5" s="1"/>
  <c r="J20" i="5"/>
  <c r="F20" i="6"/>
  <c r="F21" i="6"/>
  <c r="J18" i="5"/>
  <c r="J14" i="5"/>
</calcChain>
</file>

<file path=xl/sharedStrings.xml><?xml version="1.0" encoding="utf-8"?>
<sst xmlns="http://schemas.openxmlformats.org/spreadsheetml/2006/main" count="189" uniqueCount="131">
  <si>
    <t>Наименование</t>
  </si>
  <si>
    <t>|</t>
  </si>
  <si>
    <t>_000-56-0-00.00-0000</t>
  </si>
  <si>
    <t>ДЗО</t>
  </si>
  <si>
    <t>ПАО "МРСК Северо-Запада"</t>
  </si>
  <si>
    <t/>
  </si>
  <si>
    <t>№ пп</t>
  </si>
  <si>
    <t>Составил:</t>
  </si>
  <si>
    <t>Проверил:</t>
  </si>
  <si>
    <t>Пирковская Е.Г.</t>
  </si>
  <si>
    <t>"УТВЕРЖДАЮ"</t>
  </si>
  <si>
    <t>Заместитель директора по инвестиционной деятельности филиала</t>
  </si>
  <si>
    <t>НДС</t>
  </si>
  <si>
    <t>№ ИП</t>
  </si>
  <si>
    <t>(наименование стройки)</t>
  </si>
  <si>
    <t>Итого с НДС</t>
  </si>
  <si>
    <t>СМР</t>
  </si>
  <si>
    <t>ПНР</t>
  </si>
  <si>
    <t>Прочие</t>
  </si>
  <si>
    <t>(наименование дочерней или зависимой организации)</t>
  </si>
  <si>
    <t>'___''____________ 20___ г.</t>
  </si>
  <si>
    <t>Ориентировочный сметный расчет в сумме  тыс. руб. (с НДС) в прогнозных ценах 2 020 года</t>
  </si>
  <si>
    <t>тыс. руб.</t>
  </si>
  <si>
    <t>№   пп</t>
  </si>
  <si>
    <t>Обоснование</t>
  </si>
  <si>
    <t>Наименование глав, объектов, работ и затрат</t>
  </si>
  <si>
    <t>Общая сметная стоимость</t>
  </si>
  <si>
    <t>Глава 9. Прочие работы и затраты</t>
  </si>
  <si>
    <t>Глава 10. Содержание службы технического заказчика. Строительный контроль</t>
  </si>
  <si>
    <t>Итого по главе 10</t>
  </si>
  <si>
    <t>Глава 12. Проектные и изыскательские работы</t>
  </si>
  <si>
    <t>Итого по главе 12</t>
  </si>
  <si>
    <t>Итого по главам 1-12</t>
  </si>
  <si>
    <t>Непредвиденные затраты</t>
  </si>
  <si>
    <t>МДС81-35-2004
 п. 4.96, приказ Минрегионразвития РФ № 220 от 01.06.2012 г.</t>
  </si>
  <si>
    <t>Налоги и обязательные платежи</t>
  </si>
  <si>
    <t>В.Ю.Размыслов</t>
  </si>
  <si>
    <t>Согласовано:</t>
  </si>
  <si>
    <t>Расчет начальной максимальной цены лота на выполнение работ по объекту:</t>
  </si>
  <si>
    <t>Оборудова ние</t>
  </si>
  <si>
    <t>ИТОГО, тыс. руб.</t>
  </si>
  <si>
    <t>Стоимость строительства в базисных ценах на 01.01.2000 г. (за исключением затрат Заказчика)</t>
  </si>
  <si>
    <t>ВСЕГО с НДС20 %</t>
  </si>
  <si>
    <t>Индексы изменения сметной стоимости на 4 кв. 2017 г
Письмо Министерства строительства и ЖКХ РФ № 45082-ХМ/09 от 05.12.2017</t>
  </si>
  <si>
    <t>ПИР
Рабочая документация</t>
  </si>
  <si>
    <t>Стоимость строительства в ценах 4 кв. 2017 г (за исключением затрат Заказчика)</t>
  </si>
  <si>
    <t>Плановая (предварительная) стоимость объекта в прогнозных ценах года окончания строительства в 2020  году</t>
  </si>
  <si>
    <t>на основании ТКП ООО "Лифтовые технологии" от 02.10.2018 №294/09-18 (предложение №3328273-4) с учетом действующей методики с окончанием реализации в 2020 году.</t>
  </si>
  <si>
    <t>Глава 2. Основные объекты строительства</t>
  </si>
  <si>
    <t xml:space="preserve"> ТКП ООО "Лифтовые технологии" от 02.10.2018 №294/09-18 (предложение №3328273-4)</t>
  </si>
  <si>
    <t>Сметная стоимость в базовых ценах 2000 года</t>
  </si>
  <si>
    <t>Итого по главе 2</t>
  </si>
  <si>
    <t>Пусконаладочные работы</t>
  </si>
  <si>
    <t>Техническое освидетельствование</t>
  </si>
  <si>
    <t>Итого по главе 9</t>
  </si>
  <si>
    <t>Итого по главам 1-9</t>
  </si>
  <si>
    <t>Содержание службы технического заказчика</t>
  </si>
  <si>
    <t>Строительный контроль</t>
  </si>
  <si>
    <t>Итого по главам 1-10</t>
  </si>
  <si>
    <t>Разработка рабочей документации</t>
  </si>
  <si>
    <t xml:space="preserve">Непредвиденные работы и затраты  - 3% </t>
  </si>
  <si>
    <t xml:space="preserve">Итого с "Непредвиденными затратами" </t>
  </si>
  <si>
    <t>Сметная стоимость в ценах 4 квартала 2017 года</t>
  </si>
  <si>
    <t>Индексы-дефляторы Минэкономразвития по строке ''Капвложения'' от 2017 до года ввода объекта в эксплуатацию в 2 020 г.</t>
  </si>
  <si>
    <t>СМР, ПНР и прочие</t>
  </si>
  <si>
    <t>Составлен в прогнозных ценах года окончания строительства:  2020</t>
  </si>
  <si>
    <t xml:space="preserve">«Техническое перевооружение лифтового оборудования, установленного в административном здании по адресу: г. Сыктывкар, ул. Интернациональная, д. 94 (1 шт.)», </t>
  </si>
  <si>
    <t>Расчет начальной максимальной цены лота на выполнение проектно-изыскательских работ по объекту:</t>
  </si>
  <si>
    <t>Проектно-изыскательские работы</t>
  </si>
  <si>
    <t xml:space="preserve">Обоснование </t>
  </si>
  <si>
    <t>Стоимость, 
тыс. руб.</t>
  </si>
  <si>
    <t>Итого в ценах на 01.01.2000</t>
  </si>
  <si>
    <t>Индексы изменения сметной стоимости на 1 кв. 2019 г
Письмо Министерства строительства и ЖКХ РФ № 1408-ЛС/09 от 22.01.2019</t>
  </si>
  <si>
    <t>Стоимость проектирования в текущем уровне цен</t>
  </si>
  <si>
    <t>Индексы-дефляторы Минэкономразвития по строке ''Капвложения'' 2019 год</t>
  </si>
  <si>
    <t>Стоимость проектирования в ценах на период строительства в 2019  году</t>
  </si>
  <si>
    <t>НДС20 %</t>
  </si>
  <si>
    <t>Всего по сводной таблице в текущих (прогнозных) ценах с НДС</t>
  </si>
  <si>
    <t>№ 
п/п</t>
  </si>
  <si>
    <t>Наименование затрат</t>
  </si>
  <si>
    <t>Заместитель директора
по инвестиционной деятельности
Филиала ПАО "МРСК Северо-Запада" "Комиэнерго"</t>
  </si>
  <si>
    <t>В.Ю. Размыслов</t>
  </si>
  <si>
    <t>ведущий инженер СПС УКС</t>
  </si>
  <si>
    <t>Е.Г. Пирковская</t>
  </si>
  <si>
    <t>Начальник управления капитального строительства</t>
  </si>
  <si>
    <t>А.А. Воронов</t>
  </si>
  <si>
    <t>000-56-1-06.70-0005 Техническое перевооружение лифтового оборудования, установленного в административном здании по адресу: г. Сыктывкар, ул. Интернациональная, д. 94 (1 шт.)</t>
  </si>
  <si>
    <t>Локальная смета №1</t>
  </si>
  <si>
    <t>Монтажных работ</t>
  </si>
  <si>
    <t>Строительных работ</t>
  </si>
  <si>
    <t>Оборудования, мебели, инвентаря</t>
  </si>
  <si>
    <t>Прочих затрат</t>
  </si>
  <si>
    <t>Монтаж оборудования лифта</t>
  </si>
  <si>
    <t>Сметная стоимость в ценах 2 квартала 2019 года</t>
  </si>
  <si>
    <t>Демонтажные работы</t>
  </si>
  <si>
    <t>Договор от 17.05.2019 №29-19</t>
  </si>
  <si>
    <t>Приказ "Комиэнерго"№182 от 19.04.2018</t>
  </si>
  <si>
    <t>Постановление Правительства РФ от 21.06.2010 №468</t>
  </si>
  <si>
    <t>1,053*1,051*1,04</t>
  </si>
  <si>
    <t>Составлен в базисных ценах 2001 года с пересчетом в текущие цены на 2019 год</t>
  </si>
  <si>
    <t>№
п/п</t>
  </si>
  <si>
    <t>Номера сметных расчетов и смет</t>
  </si>
  <si>
    <t>Сметная стоимость, тыс. руб.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</si>
  <si>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</si>
  <si>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</si>
  <si>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</si>
  <si>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</si>
  <si>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Глава 1. Подготовка территории строительства</t>
  </si>
  <si>
    <t>ИТОГО ПО ГЛАВЕ 2</t>
  </si>
  <si>
    <t>ИТОГО ПО ГЛАВЕ 9</t>
  </si>
  <si>
    <t>ИТОГО ПО ГЛАВАМ 1- 9</t>
  </si>
  <si>
    <t>МДС81-35.2004</t>
  </si>
  <si>
    <t>Непредвиденные работы и затраты  1,5%</t>
  </si>
  <si>
    <t>ИТОГО</t>
  </si>
  <si>
    <t>Стоимость строительства в ценах 2 квартала 2019 года</t>
  </si>
  <si>
    <t>НДС 20%</t>
  </si>
  <si>
    <t>Всего по сводной таблице в текущих (прогнозных) ценах с учетом снижения затрат, с НДС</t>
  </si>
  <si>
    <t xml:space="preserve">       </t>
  </si>
  <si>
    <t xml:space="preserve"> </t>
  </si>
  <si>
    <t>"СОГЛАСОВАНО"</t>
  </si>
  <si>
    <t>Начальник управления капитального строительства                                                     А.А. Воронов</t>
  </si>
  <si>
    <t>Расчет начальной максимальной цены лота на выполнение СМР (в соответствии с утвержденным сметным расчетом) по объекту: 000-56-1-06.70-0005 Техническое перевооружение лифтового оборудования, установленного в административном здании по адресу: г. Сыктывкар, ул. Интернациональная, д. 94 (1 шт.)</t>
  </si>
  <si>
    <t>Заместитель директора по инвестиционной деятельности 
филиала ПАО "МРСК Северо-Запада" "Комиэнерго"  
_________________________ В.Ю. Размыслов</t>
  </si>
  <si>
    <t>Индексы - дефляторы МЭР по строке "Капвложения" на 2020 год (указать период выпуска)</t>
  </si>
  <si>
    <t>Стоимость строительства в ценах на период строительства в 2020 году</t>
  </si>
  <si>
    <t>Разработал: Вед.инженер УКС                                     Е.Г. Пирковская</t>
  </si>
  <si>
    <t>СМЕТНЫЙ РАСЧЕТ СТОИМОСТИ СТРОИТЕЛЬСТВА</t>
  </si>
  <si>
    <t xml:space="preserve">Индексы на 3 квартал 2019 года </t>
  </si>
  <si>
    <t>Письмо Минстроя России от 09.10.2019 №38021-ЮГ/09</t>
  </si>
  <si>
    <t>«Техническое перевооружение лифтового оборудования, установленного в административном здании по адресу: г. Сыктывкар, ул. Интернациональная, д. 94 (1 шт.)»</t>
  </si>
  <si>
    <t>J_000-56-1-06.70-0005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</si>
</sst>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"/>
    <numFmt numFmtId="165" formatCode="#,##0.00000"/>
    <numFmt numFmtId="166" formatCode="#,##0.000"/>
    <numFmt numFmtId="167" formatCode="#,##0.000000"/>
    <numFmt numFmtId="168" formatCode="0.000"/>
    <numFmt numFmtId="169" formatCode="#,##0.0000000"/>
    <numFmt numFmtId="170" formatCode="_-* #,##0_р_._-;\-* #,##0_р_._-;_-* &quot;-&quot;??_р_._-;_-@_-"/>
  </numFmts>
  <fonts count="4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2"/>
    </font>
    <font>
      <b/>
      <sz val="10"/>
      <name val="Times New Roman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36"/>
      <color rgb="FFFFFFFF"/>
      <name val="Arial"/>
      <family val="2"/>
    </font>
    <font>
      <sz val="11"/>
      <color rgb="FF000000"/>
      <name val="Times New Roman"/>
      <family val="2"/>
    </font>
    <font>
      <sz val="10"/>
      <color rgb="FF000000"/>
      <name val="Times New Roman"/>
      <family val="2"/>
    </font>
    <font>
      <sz val="9"/>
      <color rgb="FF000000"/>
      <name val="Times New Roman"/>
      <family val="2"/>
    </font>
    <font>
      <b/>
      <sz val="10"/>
      <color rgb="FF000000"/>
      <name val="Times New Roman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Times New Roman"/>
      <family val="2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9"/>
      <color rgb="FF000000"/>
      <name val="Times New Roman"/>
      <family val="2"/>
    </font>
    <font>
      <b/>
      <sz val="12"/>
      <color rgb="FF00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7">
    <xf numFmtId="0" fontId="0" fillId="0" borderId="0"/>
    <xf numFmtId="0" fontId="9" fillId="0" borderId="0">
      <alignment horizontal="left" vertical="top"/>
    </xf>
    <xf numFmtId="0" fontId="10" fillId="0" borderId="0">
      <alignment horizontal="left" vertical="top"/>
    </xf>
    <xf numFmtId="0" fontId="9" fillId="0" borderId="1">
      <alignment horizontal="center" vertical="center"/>
    </xf>
    <xf numFmtId="0" fontId="9" fillId="0" borderId="2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3">
      <alignment horizontal="center" vertical="center"/>
    </xf>
    <xf numFmtId="0" fontId="10" fillId="0" borderId="0">
      <alignment horizontal="left" vertical="top"/>
    </xf>
    <xf numFmtId="0" fontId="9" fillId="0" borderId="2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3">
      <alignment horizontal="center" vertical="center"/>
    </xf>
    <xf numFmtId="0" fontId="15" fillId="0" borderId="4">
      <alignment horizontal="left" vertical="top"/>
    </xf>
    <xf numFmtId="0" fontId="9" fillId="0" borderId="0">
      <alignment horizontal="left" vertical="top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9" fillId="0" borderId="0">
      <alignment horizontal="right" vertical="top"/>
    </xf>
    <xf numFmtId="0" fontId="10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0" fillId="0" borderId="4">
      <alignment horizontal="left" vertical="top"/>
    </xf>
    <xf numFmtId="0" fontId="14" fillId="0" borderId="0">
      <alignment horizontal="right" vertical="top"/>
    </xf>
    <xf numFmtId="0" fontId="23" fillId="0" borderId="0">
      <alignment horizontal="left" vertical="top"/>
    </xf>
    <xf numFmtId="0" fontId="23" fillId="0" borderId="0">
      <alignment horizontal="left" vertical="top"/>
    </xf>
    <xf numFmtId="0" fontId="23" fillId="0" borderId="0">
      <alignment horizontal="left" vertical="top"/>
    </xf>
    <xf numFmtId="0" fontId="14" fillId="0" borderId="0">
      <alignment horizontal="left"/>
    </xf>
    <xf numFmtId="0" fontId="10" fillId="0" borderId="0">
      <alignment horizontal="left" vertical="top"/>
    </xf>
    <xf numFmtId="0" fontId="20" fillId="0" borderId="0"/>
    <xf numFmtId="0" fontId="25" fillId="0" borderId="0"/>
    <xf numFmtId="9" fontId="25" fillId="0" borderId="0" applyFont="0" applyFill="0" applyBorder="0" applyAlignment="0" applyProtection="0"/>
    <xf numFmtId="0" fontId="5" fillId="0" borderId="0"/>
  </cellStyleXfs>
  <cellXfs count="360">
    <xf numFmtId="0" fontId="0" fillId="0" borderId="0" xfId="0"/>
    <xf numFmtId="0" fontId="0" fillId="0" borderId="0" xfId="0" applyAlignment="1">
      <alignment horizontal="left"/>
    </xf>
    <xf numFmtId="0" fontId="27" fillId="0" borderId="0" xfId="0" applyFont="1" applyAlignment="1">
      <alignment horizontal="left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Alignment="1">
      <alignment horizontal="left"/>
    </xf>
    <xf numFmtId="0" fontId="29" fillId="0" borderId="30" xfId="0" applyFont="1" applyBorder="1" applyAlignment="1">
      <alignment horizontal="left"/>
    </xf>
    <xf numFmtId="0" fontId="29" fillId="0" borderId="0" xfId="0" applyFont="1" applyBorder="1" applyAlignment="1">
      <alignment horizontal="left" vertical="center"/>
    </xf>
    <xf numFmtId="0" fontId="29" fillId="0" borderId="31" xfId="0" applyFont="1" applyBorder="1" applyAlignment="1">
      <alignment horizontal="left" vertical="center"/>
    </xf>
    <xf numFmtId="0" fontId="29" fillId="0" borderId="30" xfId="0" applyFont="1" applyBorder="1" applyAlignment="1">
      <alignment horizontal="left" vertical="center"/>
    </xf>
    <xf numFmtId="0" fontId="29" fillId="0" borderId="32" xfId="0" applyFont="1" applyBorder="1" applyAlignment="1">
      <alignment horizontal="left" vertical="center" wrapText="1"/>
    </xf>
    <xf numFmtId="1" fontId="30" fillId="0" borderId="32" xfId="0" applyNumberFormat="1" applyFont="1" applyBorder="1" applyAlignment="1">
      <alignment horizontal="center" vertical="center"/>
    </xf>
    <xf numFmtId="0" fontId="29" fillId="0" borderId="32" xfId="0" applyFont="1" applyBorder="1" applyAlignment="1">
      <alignment horizontal="left" vertical="center"/>
    </xf>
    <xf numFmtId="0" fontId="31" fillId="0" borderId="32" xfId="0" applyFont="1" applyBorder="1" applyAlignment="1">
      <alignment horizontal="left" vertical="center"/>
    </xf>
    <xf numFmtId="0" fontId="29" fillId="0" borderId="32" xfId="0" applyFont="1" applyBorder="1" applyAlignment="1">
      <alignment horizontal="right" vertical="center"/>
    </xf>
    <xf numFmtId="164" fontId="29" fillId="0" borderId="32" xfId="0" applyNumberFormat="1" applyFont="1" applyBorder="1" applyAlignment="1">
      <alignment horizontal="right" vertical="center"/>
    </xf>
    <xf numFmtId="164" fontId="31" fillId="0" borderId="32" xfId="0" applyNumberFormat="1" applyFont="1" applyBorder="1" applyAlignment="1">
      <alignment horizontal="right" vertical="center"/>
    </xf>
    <xf numFmtId="165" fontId="31" fillId="0" borderId="32" xfId="0" applyNumberFormat="1" applyFont="1" applyBorder="1" applyAlignment="1">
      <alignment horizontal="right" vertical="center"/>
    </xf>
    <xf numFmtId="165" fontId="29" fillId="0" borderId="32" xfId="0" applyNumberFormat="1" applyFont="1" applyBorder="1" applyAlignment="1">
      <alignment horizontal="right" vertical="center"/>
    </xf>
    <xf numFmtId="164" fontId="1" fillId="0" borderId="32" xfId="0" applyNumberFormat="1" applyFont="1" applyBorder="1" applyAlignment="1">
      <alignment horizontal="right" vertical="center"/>
    </xf>
    <xf numFmtId="164" fontId="2" fillId="0" borderId="32" xfId="0" applyNumberFormat="1" applyFont="1" applyBorder="1" applyAlignment="1">
      <alignment horizontal="right" vertical="center"/>
    </xf>
    <xf numFmtId="165" fontId="2" fillId="0" borderId="32" xfId="0" applyNumberFormat="1" applyFont="1" applyBorder="1" applyAlignment="1">
      <alignment horizontal="right" vertical="center"/>
    </xf>
    <xf numFmtId="2" fontId="1" fillId="0" borderId="32" xfId="0" applyNumberFormat="1" applyFont="1" applyBorder="1" applyAlignment="1">
      <alignment horizontal="right" vertical="center"/>
    </xf>
    <xf numFmtId="0" fontId="32" fillId="0" borderId="30" xfId="0" applyFont="1" applyBorder="1" applyAlignment="1">
      <alignment horizontal="left" vertical="center"/>
    </xf>
    <xf numFmtId="1" fontId="29" fillId="0" borderId="32" xfId="0" applyNumberFormat="1" applyFont="1" applyBorder="1" applyAlignment="1">
      <alignment horizontal="right" vertical="center"/>
    </xf>
    <xf numFmtId="0" fontId="33" fillId="0" borderId="30" xfId="0" applyFont="1" applyBorder="1" applyAlignment="1">
      <alignment horizontal="left" vertical="center"/>
    </xf>
    <xf numFmtId="0" fontId="29" fillId="0" borderId="33" xfId="0" applyFont="1" applyBorder="1" applyAlignment="1">
      <alignment horizontal="right" vertical="center" wrapText="1"/>
    </xf>
    <xf numFmtId="0" fontId="34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31" fillId="0" borderId="32" xfId="0" applyFont="1" applyBorder="1" applyAlignment="1">
      <alignment horizontal="left" vertical="center"/>
    </xf>
    <xf numFmtId="1" fontId="29" fillId="0" borderId="34" xfId="0" applyNumberFormat="1" applyFont="1" applyBorder="1" applyAlignment="1">
      <alignment horizontal="right" vertical="center"/>
    </xf>
    <xf numFmtId="166" fontId="28" fillId="0" borderId="32" xfId="0" applyNumberFormat="1" applyFont="1" applyBorder="1" applyAlignment="1">
      <alignment vertical="center" wrapText="1"/>
    </xf>
    <xf numFmtId="166" fontId="28" fillId="0" borderId="34" xfId="0" applyNumberFormat="1" applyFont="1" applyBorder="1" applyAlignment="1">
      <alignment vertical="center" wrapText="1"/>
    </xf>
    <xf numFmtId="166" fontId="34" fillId="0" borderId="35" xfId="0" applyNumberFormat="1" applyFont="1" applyBorder="1" applyAlignment="1">
      <alignment vertical="center" wrapText="1"/>
    </xf>
    <xf numFmtId="166" fontId="34" fillId="0" borderId="32" xfId="0" applyNumberFormat="1" applyFont="1" applyBorder="1" applyAlignment="1">
      <alignment vertical="center" wrapText="1"/>
    </xf>
    <xf numFmtId="0" fontId="31" fillId="0" borderId="36" xfId="0" applyFont="1" applyBorder="1" applyAlignment="1">
      <alignment vertical="center"/>
    </xf>
    <xf numFmtId="0" fontId="31" fillId="0" borderId="37" xfId="0" applyFont="1" applyBorder="1" applyAlignment="1">
      <alignment vertical="center"/>
    </xf>
    <xf numFmtId="1" fontId="30" fillId="0" borderId="36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center" vertical="center"/>
    </xf>
    <xf numFmtId="165" fontId="29" fillId="0" borderId="32" xfId="0" applyNumberFormat="1" applyFont="1" applyBorder="1" applyAlignment="1">
      <alignment horizontal="left" vertical="center"/>
    </xf>
    <xf numFmtId="0" fontId="29" fillId="0" borderId="36" xfId="0" applyFont="1" applyBorder="1" applyAlignment="1">
      <alignment horizontal="left" vertical="center"/>
    </xf>
    <xf numFmtId="164" fontId="31" fillId="0" borderId="38" xfId="0" applyNumberFormat="1" applyFont="1" applyBorder="1" applyAlignment="1">
      <alignment horizontal="right" vertical="center"/>
    </xf>
    <xf numFmtId="0" fontId="29" fillId="0" borderId="1" xfId="0" applyFont="1" applyBorder="1" applyAlignment="1">
      <alignment horizontal="left" vertical="center"/>
    </xf>
    <xf numFmtId="0" fontId="29" fillId="0" borderId="1" xfId="0" applyFont="1" applyBorder="1" applyAlignment="1">
      <alignment horizontal="right" vertical="center"/>
    </xf>
    <xf numFmtId="0" fontId="29" fillId="0" borderId="32" xfId="0" applyFont="1" applyBorder="1" applyAlignment="1">
      <alignment horizontal="center" vertical="center"/>
    </xf>
    <xf numFmtId="0" fontId="31" fillId="0" borderId="32" xfId="0" applyFont="1" applyBorder="1" applyAlignment="1">
      <alignment horizontal="center" vertical="center"/>
    </xf>
    <xf numFmtId="165" fontId="29" fillId="0" borderId="1" xfId="0" applyNumberFormat="1" applyFont="1" applyBorder="1" applyAlignment="1">
      <alignment horizontal="right" vertical="center"/>
    </xf>
    <xf numFmtId="0" fontId="31" fillId="0" borderId="34" xfId="0" applyFont="1" applyBorder="1" applyAlignment="1">
      <alignment vertical="center"/>
    </xf>
    <xf numFmtId="0" fontId="31" fillId="0" borderId="31" xfId="0" applyFont="1" applyBorder="1" applyAlignment="1">
      <alignment vertical="center"/>
    </xf>
    <xf numFmtId="0" fontId="31" fillId="0" borderId="36" xfId="0" applyFont="1" applyBorder="1" applyAlignment="1">
      <alignment horizontal="left" vertical="center"/>
    </xf>
    <xf numFmtId="0" fontId="29" fillId="0" borderId="36" xfId="0" applyFont="1" applyBorder="1" applyAlignment="1">
      <alignment horizontal="left" vertical="center" wrapText="1"/>
    </xf>
    <xf numFmtId="0" fontId="29" fillId="0" borderId="39" xfId="0" applyFont="1" applyBorder="1" applyAlignment="1">
      <alignment horizontal="center" vertical="center" wrapText="1"/>
    </xf>
    <xf numFmtId="1" fontId="30" fillId="0" borderId="39" xfId="0" applyNumberFormat="1" applyFont="1" applyBorder="1" applyAlignment="1">
      <alignment horizontal="center" vertical="center"/>
    </xf>
    <xf numFmtId="1" fontId="30" fillId="0" borderId="40" xfId="0" applyNumberFormat="1" applyFont="1" applyBorder="1" applyAlignment="1">
      <alignment horizontal="center" vertical="center"/>
    </xf>
    <xf numFmtId="0" fontId="31" fillId="0" borderId="41" xfId="0" applyFont="1" applyBorder="1" applyAlignment="1">
      <alignment vertical="center"/>
    </xf>
    <xf numFmtId="0" fontId="31" fillId="0" borderId="42" xfId="0" applyFont="1" applyBorder="1" applyAlignment="1">
      <alignment vertical="center"/>
    </xf>
    <xf numFmtId="165" fontId="29" fillId="0" borderId="39" xfId="0" applyNumberFormat="1" applyFont="1" applyBorder="1" applyAlignment="1">
      <alignment horizontal="right" vertical="center"/>
    </xf>
    <xf numFmtId="165" fontId="29" fillId="0" borderId="40" xfId="0" applyNumberFormat="1" applyFont="1" applyBorder="1" applyAlignment="1">
      <alignment horizontal="right" vertical="center"/>
    </xf>
    <xf numFmtId="165" fontId="31" fillId="0" borderId="39" xfId="0" applyNumberFormat="1" applyFont="1" applyBorder="1" applyAlignment="1">
      <alignment horizontal="right" vertical="center"/>
    </xf>
    <xf numFmtId="164" fontId="31" fillId="0" borderId="40" xfId="0" applyNumberFormat="1" applyFont="1" applyBorder="1" applyAlignment="1">
      <alignment horizontal="right" vertical="center"/>
    </xf>
    <xf numFmtId="0" fontId="31" fillId="0" borderId="43" xfId="0" applyFont="1" applyBorder="1" applyAlignment="1">
      <alignment vertical="center"/>
    </xf>
    <xf numFmtId="0" fontId="31" fillId="0" borderId="44" xfId="0" applyFont="1" applyBorder="1" applyAlignment="1">
      <alignment vertical="center"/>
    </xf>
    <xf numFmtId="0" fontId="29" fillId="0" borderId="5" xfId="0" applyFont="1" applyBorder="1" applyAlignment="1">
      <alignment horizontal="left" vertical="center"/>
    </xf>
    <xf numFmtId="0" fontId="29" fillId="0" borderId="6" xfId="0" applyFont="1" applyBorder="1" applyAlignment="1">
      <alignment horizontal="right" vertical="center"/>
    </xf>
    <xf numFmtId="164" fontId="31" fillId="0" borderId="45" xfId="0" applyNumberFormat="1" applyFont="1" applyBorder="1" applyAlignment="1">
      <alignment horizontal="right" vertical="center"/>
    </xf>
    <xf numFmtId="164" fontId="31" fillId="0" borderId="46" xfId="0" applyNumberFormat="1" applyFont="1" applyBorder="1" applyAlignment="1">
      <alignment horizontal="right" vertical="center"/>
    </xf>
    <xf numFmtId="164" fontId="31" fillId="0" borderId="39" xfId="0" applyNumberFormat="1" applyFont="1" applyBorder="1" applyAlignment="1">
      <alignment horizontal="right" vertical="center"/>
    </xf>
    <xf numFmtId="0" fontId="29" fillId="0" borderId="39" xfId="0" applyFont="1" applyBorder="1" applyAlignment="1">
      <alignment horizontal="left" vertical="center"/>
    </xf>
    <xf numFmtId="0" fontId="29" fillId="0" borderId="40" xfId="0" applyFont="1" applyBorder="1" applyAlignment="1">
      <alignment horizontal="right" vertical="center"/>
    </xf>
    <xf numFmtId="0" fontId="31" fillId="0" borderId="39" xfId="0" applyFont="1" applyBorder="1" applyAlignment="1">
      <alignment horizontal="left" vertical="center"/>
    </xf>
    <xf numFmtId="165" fontId="31" fillId="0" borderId="40" xfId="0" applyNumberFormat="1" applyFont="1" applyBorder="1" applyAlignment="1">
      <alignment horizontal="right" vertical="center"/>
    </xf>
    <xf numFmtId="164" fontId="1" fillId="0" borderId="39" xfId="0" applyNumberFormat="1" applyFont="1" applyBorder="1" applyAlignment="1">
      <alignment horizontal="right" vertical="center"/>
    </xf>
    <xf numFmtId="164" fontId="1" fillId="0" borderId="40" xfId="0" applyNumberFormat="1" applyFont="1" applyBorder="1" applyAlignment="1">
      <alignment horizontal="right" vertical="center"/>
    </xf>
    <xf numFmtId="164" fontId="2" fillId="0" borderId="39" xfId="0" applyNumberFormat="1" applyFont="1" applyBorder="1" applyAlignment="1">
      <alignment horizontal="right" vertical="center"/>
    </xf>
    <xf numFmtId="165" fontId="2" fillId="0" borderId="40" xfId="0" applyNumberFormat="1" applyFont="1" applyBorder="1" applyAlignment="1">
      <alignment horizontal="right" vertical="center"/>
    </xf>
    <xf numFmtId="0" fontId="31" fillId="0" borderId="40" xfId="0" applyFont="1" applyBorder="1" applyAlignment="1">
      <alignment horizontal="left" vertical="center"/>
    </xf>
    <xf numFmtId="2" fontId="1" fillId="0" borderId="39" xfId="0" applyNumberFormat="1" applyFont="1" applyBorder="1" applyAlignment="1">
      <alignment horizontal="right" vertical="center"/>
    </xf>
    <xf numFmtId="2" fontId="1" fillId="0" borderId="40" xfId="0" applyNumberFormat="1" applyFont="1" applyBorder="1" applyAlignment="1">
      <alignment horizontal="right" vertical="center"/>
    </xf>
    <xf numFmtId="165" fontId="2" fillId="0" borderId="47" xfId="0" applyNumberFormat="1" applyFont="1" applyBorder="1" applyAlignment="1">
      <alignment horizontal="right" vertical="center"/>
    </xf>
    <xf numFmtId="165" fontId="2" fillId="0" borderId="48" xfId="0" applyNumberFormat="1" applyFont="1" applyBorder="1" applyAlignment="1">
      <alignment horizontal="right" vertical="center"/>
    </xf>
    <xf numFmtId="165" fontId="2" fillId="0" borderId="49" xfId="0" applyNumberFormat="1" applyFont="1" applyBorder="1" applyAlignment="1">
      <alignment horizontal="right" vertical="center"/>
    </xf>
    <xf numFmtId="1" fontId="30" fillId="0" borderId="5" xfId="0" applyNumberFormat="1" applyFont="1" applyBorder="1" applyAlignment="1">
      <alignment horizontal="center" vertical="center"/>
    </xf>
    <xf numFmtId="1" fontId="30" fillId="0" borderId="6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8" xfId="0" applyBorder="1" applyAlignment="1">
      <alignment horizontal="left"/>
    </xf>
    <xf numFmtId="165" fontId="29" fillId="0" borderId="6" xfId="0" applyNumberFormat="1" applyFont="1" applyBorder="1" applyAlignment="1">
      <alignment horizontal="right" vertical="center"/>
    </xf>
    <xf numFmtId="165" fontId="0" fillId="0" borderId="7" xfId="0" applyNumberFormat="1" applyBorder="1" applyAlignment="1">
      <alignment horizontal="left"/>
    </xf>
    <xf numFmtId="165" fontId="0" fillId="0" borderId="0" xfId="0" applyNumberFormat="1" applyBorder="1" applyAlignment="1">
      <alignment horizontal="left"/>
    </xf>
    <xf numFmtId="165" fontId="0" fillId="0" borderId="8" xfId="0" applyNumberFormat="1" applyBorder="1" applyAlignment="1">
      <alignment horizontal="left"/>
    </xf>
    <xf numFmtId="165" fontId="0" fillId="0" borderId="5" xfId="0" applyNumberFormat="1" applyBorder="1" applyAlignment="1">
      <alignment horizontal="left"/>
    </xf>
    <xf numFmtId="165" fontId="0" fillId="0" borderId="1" xfId="0" applyNumberFormat="1" applyBorder="1" applyAlignment="1">
      <alignment horizontal="left"/>
    </xf>
    <xf numFmtId="165" fontId="31" fillId="0" borderId="38" xfId="0" applyNumberFormat="1" applyFont="1" applyBorder="1" applyAlignment="1">
      <alignment horizontal="right" vertical="center"/>
    </xf>
    <xf numFmtId="165" fontId="31" fillId="0" borderId="46" xfId="0" applyNumberFormat="1" applyFont="1" applyBorder="1" applyAlignment="1">
      <alignment horizontal="right" vertical="center"/>
    </xf>
    <xf numFmtId="165" fontId="29" fillId="0" borderId="39" xfId="0" applyNumberFormat="1" applyFont="1" applyBorder="1" applyAlignment="1">
      <alignment horizontal="left" vertical="center"/>
    </xf>
    <xf numFmtId="165" fontId="31" fillId="0" borderId="39" xfId="0" applyNumberFormat="1" applyFont="1" applyBorder="1" applyAlignment="1">
      <alignment horizontal="left" vertical="center"/>
    </xf>
    <xf numFmtId="165" fontId="31" fillId="0" borderId="32" xfId="0" applyNumberFormat="1" applyFont="1" applyBorder="1" applyAlignment="1">
      <alignment horizontal="left" vertical="center"/>
    </xf>
    <xf numFmtId="165" fontId="1" fillId="0" borderId="39" xfId="0" applyNumberFormat="1" applyFont="1" applyBorder="1" applyAlignment="1">
      <alignment horizontal="right" vertical="center"/>
    </xf>
    <xf numFmtId="165" fontId="1" fillId="0" borderId="32" xfId="0" applyNumberFormat="1" applyFont="1" applyBorder="1" applyAlignment="1">
      <alignment horizontal="right" vertical="center"/>
    </xf>
    <xf numFmtId="165" fontId="1" fillId="0" borderId="40" xfId="0" applyNumberFormat="1" applyFont="1" applyBorder="1" applyAlignment="1">
      <alignment horizontal="right" vertical="center"/>
    </xf>
    <xf numFmtId="165" fontId="2" fillId="0" borderId="39" xfId="0" applyNumberFormat="1" applyFont="1" applyBorder="1" applyAlignment="1">
      <alignment horizontal="right" vertical="center"/>
    </xf>
    <xf numFmtId="164" fontId="4" fillId="0" borderId="39" xfId="0" applyNumberFormat="1" applyFont="1" applyBorder="1" applyAlignment="1">
      <alignment horizontal="right" vertical="center"/>
    </xf>
    <xf numFmtId="165" fontId="4" fillId="0" borderId="40" xfId="0" applyNumberFormat="1" applyFont="1" applyBorder="1" applyAlignment="1">
      <alignment horizontal="right" vertical="center"/>
    </xf>
    <xf numFmtId="1" fontId="29" fillId="0" borderId="34" xfId="0" applyNumberFormat="1" applyFont="1" applyBorder="1" applyAlignment="1">
      <alignment horizontal="center" vertical="center"/>
    </xf>
    <xf numFmtId="1" fontId="29" fillId="0" borderId="32" xfId="0" applyNumberFormat="1" applyFont="1" applyBorder="1" applyAlignment="1">
      <alignment horizontal="center" vertical="center"/>
    </xf>
    <xf numFmtId="167" fontId="34" fillId="0" borderId="35" xfId="0" applyNumberFormat="1" applyFont="1" applyBorder="1" applyAlignment="1">
      <alignment vertical="center" wrapText="1"/>
    </xf>
    <xf numFmtId="167" fontId="34" fillId="0" borderId="32" xfId="0" applyNumberFormat="1" applyFont="1" applyBorder="1" applyAlignment="1">
      <alignment vertical="center" wrapText="1"/>
    </xf>
    <xf numFmtId="1" fontId="29" fillId="0" borderId="33" xfId="0" applyNumberFormat="1" applyFont="1" applyBorder="1" applyAlignment="1">
      <alignment horizontal="center" vertical="center"/>
    </xf>
    <xf numFmtId="166" fontId="29" fillId="0" borderId="35" xfId="0" applyNumberFormat="1" applyFont="1" applyBorder="1" applyAlignment="1">
      <alignment vertical="center" wrapText="1"/>
    </xf>
    <xf numFmtId="1" fontId="29" fillId="0" borderId="35" xfId="0" applyNumberFormat="1" applyFont="1" applyBorder="1" applyAlignment="1">
      <alignment horizontal="center" vertical="center" wrapText="1"/>
    </xf>
    <xf numFmtId="9" fontId="25" fillId="0" borderId="0" xfId="35" applyFont="1" applyAlignment="1">
      <alignment horizontal="left"/>
    </xf>
    <xf numFmtId="0" fontId="35" fillId="0" borderId="0" xfId="0" applyFont="1" applyAlignment="1">
      <alignment horizontal="right" wrapText="1"/>
    </xf>
    <xf numFmtId="0" fontId="35" fillId="0" borderId="0" xfId="0" applyFont="1" applyAlignment="1">
      <alignment horizontal="right"/>
    </xf>
    <xf numFmtId="0" fontId="36" fillId="0" borderId="0" xfId="0" applyFont="1" applyBorder="1" applyAlignment="1">
      <alignment horizontal="right" vertical="center"/>
    </xf>
    <xf numFmtId="165" fontId="34" fillId="0" borderId="32" xfId="0" applyNumberFormat="1" applyFont="1" applyBorder="1" applyAlignment="1">
      <alignment vertical="center" wrapText="1"/>
    </xf>
    <xf numFmtId="0" fontId="29" fillId="0" borderId="0" xfId="0" applyFont="1" applyBorder="1" applyAlignment="1"/>
    <xf numFmtId="0" fontId="29" fillId="0" borderId="0" xfId="0" applyFont="1" applyBorder="1" applyAlignment="1">
      <alignment horizontal="left"/>
    </xf>
    <xf numFmtId="0" fontId="35" fillId="0" borderId="0" xfId="0" applyFont="1" applyAlignment="1">
      <alignment horizontal="left"/>
    </xf>
    <xf numFmtId="0" fontId="29" fillId="0" borderId="0" xfId="0" applyFont="1" applyBorder="1" applyAlignment="1">
      <alignment horizontal="left" vertical="center"/>
    </xf>
    <xf numFmtId="0" fontId="29" fillId="0" borderId="0" xfId="0" applyFont="1" applyAlignment="1">
      <alignment horizontal="left" wrapText="1"/>
    </xf>
    <xf numFmtId="0" fontId="29" fillId="0" borderId="0" xfId="0" applyFont="1" applyBorder="1" applyAlignment="1">
      <alignment horizontal="left" vertical="center"/>
    </xf>
    <xf numFmtId="1" fontId="30" fillId="0" borderId="50" xfId="0" applyNumberFormat="1" applyFont="1" applyBorder="1" applyAlignment="1">
      <alignment horizontal="center" vertical="center"/>
    </xf>
    <xf numFmtId="165" fontId="29" fillId="0" borderId="50" xfId="0" applyNumberFormat="1" applyFont="1" applyBorder="1" applyAlignment="1">
      <alignment horizontal="right" vertical="center"/>
    </xf>
    <xf numFmtId="165" fontId="31" fillId="0" borderId="50" xfId="0" applyNumberFormat="1" applyFont="1" applyBorder="1" applyAlignment="1">
      <alignment horizontal="right" vertical="center"/>
    </xf>
    <xf numFmtId="0" fontId="29" fillId="0" borderId="2" xfId="0" applyFont="1" applyBorder="1" applyAlignment="1">
      <alignment horizontal="left" vertical="center"/>
    </xf>
    <xf numFmtId="0" fontId="29" fillId="0" borderId="50" xfId="0" applyFont="1" applyBorder="1" applyAlignment="1">
      <alignment horizontal="left" vertical="center"/>
    </xf>
    <xf numFmtId="0" fontId="31" fillId="0" borderId="50" xfId="0" applyFont="1" applyBorder="1" applyAlignment="1">
      <alignment horizontal="left" vertical="center"/>
    </xf>
    <xf numFmtId="164" fontId="2" fillId="0" borderId="50" xfId="0" applyNumberFormat="1" applyFont="1" applyBorder="1" applyAlignment="1">
      <alignment horizontal="right" vertical="center"/>
    </xf>
    <xf numFmtId="1" fontId="30" fillId="0" borderId="41" xfId="0" applyNumberFormat="1" applyFont="1" applyBorder="1" applyAlignment="1">
      <alignment horizontal="center" vertical="center"/>
    </xf>
    <xf numFmtId="0" fontId="29" fillId="0" borderId="51" xfId="0" applyFont="1" applyBorder="1" applyAlignment="1">
      <alignment horizontal="center" vertical="center" wrapText="1"/>
    </xf>
    <xf numFmtId="0" fontId="29" fillId="0" borderId="35" xfId="0" applyFont="1" applyBorder="1" applyAlignment="1">
      <alignment horizontal="center" vertical="center" wrapText="1"/>
    </xf>
    <xf numFmtId="0" fontId="31" fillId="0" borderId="30" xfId="0" applyFont="1" applyBorder="1" applyAlignment="1">
      <alignment vertical="center"/>
    </xf>
    <xf numFmtId="1" fontId="30" fillId="0" borderId="2" xfId="0" applyNumberFormat="1" applyFont="1" applyBorder="1" applyAlignment="1">
      <alignment horizontal="center" vertical="center"/>
    </xf>
    <xf numFmtId="165" fontId="0" fillId="0" borderId="2" xfId="0" applyNumberFormat="1" applyBorder="1" applyAlignment="1">
      <alignment horizontal="left"/>
    </xf>
    <xf numFmtId="165" fontId="29" fillId="0" borderId="50" xfId="0" applyNumberFormat="1" applyFont="1" applyBorder="1" applyAlignment="1">
      <alignment horizontal="left" vertical="center"/>
    </xf>
    <xf numFmtId="165" fontId="31" fillId="0" borderId="50" xfId="0" applyNumberFormat="1" applyFont="1" applyBorder="1" applyAlignment="1">
      <alignment horizontal="left" vertical="center"/>
    </xf>
    <xf numFmtId="166" fontId="37" fillId="0" borderId="42" xfId="0" applyNumberFormat="1" applyFont="1" applyBorder="1" applyAlignment="1">
      <alignment vertical="center"/>
    </xf>
    <xf numFmtId="166" fontId="31" fillId="0" borderId="32" xfId="0" applyNumberFormat="1" applyFont="1" applyBorder="1" applyAlignment="1">
      <alignment horizontal="right" vertical="center"/>
    </xf>
    <xf numFmtId="166" fontId="31" fillId="0" borderId="39" xfId="0" applyNumberFormat="1" applyFont="1" applyBorder="1" applyAlignment="1">
      <alignment horizontal="right" vertical="center"/>
    </xf>
    <xf numFmtId="49" fontId="6" fillId="0" borderId="1" xfId="10" applyNumberFormat="1" applyFont="1" applyFill="1" applyBorder="1" applyAlignment="1">
      <alignment horizontal="left" vertical="center" wrapText="1"/>
    </xf>
    <xf numFmtId="168" fontId="31" fillId="0" borderId="32" xfId="0" applyNumberFormat="1" applyFont="1" applyBorder="1" applyAlignment="1">
      <alignment horizontal="right" vertical="center"/>
    </xf>
    <xf numFmtId="164" fontId="1" fillId="0" borderId="41" xfId="0" applyNumberFormat="1" applyFont="1" applyBorder="1" applyAlignment="1">
      <alignment horizontal="right" vertical="center"/>
    </xf>
    <xf numFmtId="164" fontId="1" fillId="0" borderId="42" xfId="0" applyNumberFormat="1" applyFont="1" applyBorder="1" applyAlignment="1">
      <alignment horizontal="right" vertical="center"/>
    </xf>
    <xf numFmtId="164" fontId="2" fillId="0" borderId="38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6" fontId="29" fillId="0" borderId="36" xfId="0" applyNumberFormat="1" applyFont="1" applyBorder="1" applyAlignment="1">
      <alignment horizontal="right" vertical="center"/>
    </xf>
    <xf numFmtId="0" fontId="31" fillId="0" borderId="0" xfId="0" applyFont="1" applyBorder="1" applyAlignment="1">
      <alignment vertical="center"/>
    </xf>
    <xf numFmtId="166" fontId="31" fillId="0" borderId="38" xfId="0" applyNumberFormat="1" applyFont="1" applyBorder="1" applyAlignment="1">
      <alignment horizontal="right" vertical="center"/>
    </xf>
    <xf numFmtId="0" fontId="31" fillId="0" borderId="1" xfId="0" applyFont="1" applyBorder="1" applyAlignment="1">
      <alignment vertical="center"/>
    </xf>
    <xf numFmtId="166" fontId="29" fillId="0" borderId="1" xfId="0" applyNumberFormat="1" applyFont="1" applyBorder="1" applyAlignment="1">
      <alignment horizontal="right" vertical="center"/>
    </xf>
    <xf numFmtId="165" fontId="29" fillId="0" borderId="37" xfId="0" applyNumberFormat="1" applyFont="1" applyBorder="1" applyAlignment="1">
      <alignment horizontal="right" vertical="center"/>
    </xf>
    <xf numFmtId="165" fontId="29" fillId="0" borderId="37" xfId="0" applyNumberFormat="1" applyFont="1" applyBorder="1" applyAlignment="1">
      <alignment horizontal="left" vertical="center"/>
    </xf>
    <xf numFmtId="165" fontId="29" fillId="0" borderId="38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165" fontId="29" fillId="0" borderId="1" xfId="0" applyNumberFormat="1" applyFont="1" applyBorder="1" applyAlignment="1">
      <alignment horizontal="left" vertical="center"/>
    </xf>
    <xf numFmtId="165" fontId="29" fillId="0" borderId="41" xfId="0" applyNumberFormat="1" applyFont="1" applyBorder="1" applyAlignment="1">
      <alignment horizontal="right" vertical="center"/>
    </xf>
    <xf numFmtId="164" fontId="4" fillId="0" borderId="51" xfId="0" applyNumberFormat="1" applyFont="1" applyBorder="1" applyAlignment="1">
      <alignment horizontal="right" vertical="center"/>
    </xf>
    <xf numFmtId="164" fontId="4" fillId="0" borderId="35" xfId="0" applyNumberFormat="1" applyFont="1" applyBorder="1" applyAlignment="1">
      <alignment horizontal="right" vertical="center"/>
    </xf>
    <xf numFmtId="0" fontId="31" fillId="0" borderId="38" xfId="0" applyFont="1" applyBorder="1" applyAlignment="1">
      <alignment horizontal="left" vertical="center"/>
    </xf>
    <xf numFmtId="2" fontId="1" fillId="0" borderId="41" xfId="0" applyNumberFormat="1" applyFont="1" applyBorder="1" applyAlignment="1">
      <alignment horizontal="right" vertical="center"/>
    </xf>
    <xf numFmtId="0" fontId="31" fillId="0" borderId="52" xfId="0" applyFont="1" applyBorder="1" applyAlignment="1">
      <alignment horizontal="left" vertical="center"/>
    </xf>
    <xf numFmtId="0" fontId="31" fillId="0" borderId="53" xfId="0" applyFont="1" applyBorder="1" applyAlignment="1">
      <alignment horizontal="left" vertical="center"/>
    </xf>
    <xf numFmtId="165" fontId="2" fillId="0" borderId="54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0" fontId="13" fillId="0" borderId="9" xfId="6" quotePrefix="1" applyFont="1" applyBorder="1" applyAlignment="1">
      <alignment horizontal="center" vertical="center" wrapText="1"/>
    </xf>
    <xf numFmtId="0" fontId="13" fillId="0" borderId="10" xfId="6" quotePrefix="1" applyFont="1" applyBorder="1" applyAlignment="1">
      <alignment horizontal="center" vertical="center" wrapText="1"/>
    </xf>
    <xf numFmtId="0" fontId="13" fillId="0" borderId="11" xfId="6" quotePrefix="1" applyFont="1" applyBorder="1" applyAlignment="1">
      <alignment horizontal="center" vertical="center" wrapText="1"/>
    </xf>
    <xf numFmtId="0" fontId="14" fillId="0" borderId="12" xfId="9" applyNumberFormat="1" applyFont="1" applyBorder="1" applyAlignment="1">
      <alignment horizontal="center" vertical="center" wrapText="1"/>
    </xf>
    <xf numFmtId="0" fontId="14" fillId="0" borderId="10" xfId="10" applyNumberFormat="1" applyFont="1" applyBorder="1" applyAlignment="1">
      <alignment horizontal="center" vertical="center" wrapText="1"/>
    </xf>
    <xf numFmtId="0" fontId="14" fillId="0" borderId="13" xfId="11" applyNumberFormat="1" applyFont="1" applyBorder="1" applyAlignment="1">
      <alignment horizontal="center" vertical="center" wrapText="1"/>
    </xf>
    <xf numFmtId="0" fontId="14" fillId="0" borderId="14" xfId="12" applyNumberFormat="1" applyFont="1" applyBorder="1" applyAlignment="1">
      <alignment horizontal="center" vertical="center" wrapText="1"/>
    </xf>
    <xf numFmtId="0" fontId="14" fillId="0" borderId="15" xfId="12" applyNumberFormat="1" applyFont="1" applyBorder="1" applyAlignment="1">
      <alignment horizontal="center" vertical="center" wrapText="1"/>
    </xf>
    <xf numFmtId="0" fontId="14" fillId="0" borderId="11" xfId="12" applyNumberFormat="1" applyFont="1" applyBorder="1" applyAlignment="1">
      <alignment horizontal="center" vertical="center" wrapText="1"/>
    </xf>
    <xf numFmtId="0" fontId="14" fillId="0" borderId="16" xfId="13" applyNumberFormat="1" applyFont="1" applyBorder="1" applyAlignment="1">
      <alignment horizontal="center" vertical="center" wrapText="1"/>
    </xf>
    <xf numFmtId="0" fontId="15" fillId="0" borderId="17" xfId="14" quotePrefix="1" applyBorder="1" applyAlignment="1">
      <alignment horizontal="left" vertical="top" wrapText="1"/>
    </xf>
    <xf numFmtId="0" fontId="15" fillId="0" borderId="18" xfId="14" quotePrefix="1" applyBorder="1" applyAlignment="1">
      <alignment horizontal="left" vertical="top" wrapText="1"/>
    </xf>
    <xf numFmtId="0" fontId="15" fillId="0" borderId="19" xfId="14" quotePrefix="1" applyBorder="1" applyAlignment="1">
      <alignment horizontal="left" vertical="top" wrapText="1"/>
    </xf>
    <xf numFmtId="0" fontId="7" fillId="0" borderId="5" xfId="18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169" fontId="18" fillId="0" borderId="1" xfId="17" applyNumberFormat="1" applyFont="1" applyFill="1" applyBorder="1" applyAlignment="1">
      <alignment horizontal="right" vertical="top" wrapText="1"/>
    </xf>
    <xf numFmtId="165" fontId="18" fillId="0" borderId="1" xfId="17" applyNumberFormat="1" applyFont="1" applyFill="1" applyBorder="1" applyAlignment="1">
      <alignment horizontal="right" vertical="top" wrapText="1"/>
    </xf>
    <xf numFmtId="165" fontId="4" fillId="0" borderId="6" xfId="17" applyNumberFormat="1" applyFont="1" applyBorder="1" applyAlignment="1">
      <alignment horizontal="right" vertical="top" wrapText="1"/>
    </xf>
    <xf numFmtId="169" fontId="12" fillId="0" borderId="5" xfId="14" quotePrefix="1" applyNumberFormat="1" applyFont="1" applyBorder="1" applyAlignment="1">
      <alignment horizontal="left" vertical="top" wrapText="1"/>
    </xf>
    <xf numFmtId="169" fontId="12" fillId="0" borderId="1" xfId="14" quotePrefix="1" applyNumberFormat="1" applyFont="1" applyBorder="1" applyAlignment="1">
      <alignment horizontal="left" vertical="top" wrapText="1"/>
    </xf>
    <xf numFmtId="169" fontId="12" fillId="0" borderId="6" xfId="14" quotePrefix="1" applyNumberFormat="1" applyFont="1" applyBorder="1" applyAlignment="1">
      <alignment horizontal="left" vertical="top" wrapText="1"/>
    </xf>
    <xf numFmtId="165" fontId="19" fillId="2" borderId="1" xfId="17" applyNumberFormat="1" applyFont="1" applyFill="1" applyBorder="1" applyAlignment="1">
      <alignment horizontal="right" vertical="top" wrapText="1"/>
    </xf>
    <xf numFmtId="165" fontId="19" fillId="2" borderId="6" xfId="17" applyNumberFormat="1" applyFont="1" applyFill="1" applyBorder="1" applyAlignment="1">
      <alignment horizontal="right" vertical="top" wrapText="1"/>
    </xf>
    <xf numFmtId="0" fontId="17" fillId="0" borderId="3" xfId="0" applyFont="1" applyBorder="1" applyAlignment="1">
      <alignment wrapText="1"/>
    </xf>
    <xf numFmtId="165" fontId="19" fillId="2" borderId="5" xfId="17" applyNumberFormat="1" applyFont="1" applyFill="1" applyBorder="1" applyAlignment="1">
      <alignment horizontal="right" vertical="top" wrapText="1"/>
    </xf>
    <xf numFmtId="165" fontId="16" fillId="2" borderId="5" xfId="17" applyNumberFormat="1" applyFont="1" applyFill="1" applyBorder="1" applyAlignment="1">
      <alignment horizontal="right" vertical="top" wrapText="1"/>
    </xf>
    <xf numFmtId="165" fontId="16" fillId="2" borderId="1" xfId="17" applyNumberFormat="1" applyFont="1" applyFill="1" applyBorder="1" applyAlignment="1">
      <alignment horizontal="right" vertical="top" wrapText="1"/>
    </xf>
    <xf numFmtId="165" fontId="16" fillId="0" borderId="6" xfId="17" applyNumberFormat="1" applyFont="1" applyFill="1" applyBorder="1" applyAlignment="1">
      <alignment horizontal="right" vertical="top" wrapText="1"/>
    </xf>
    <xf numFmtId="165" fontId="19" fillId="2" borderId="5" xfId="21" applyNumberFormat="1" applyFont="1" applyFill="1" applyBorder="1" applyAlignment="1">
      <alignment horizontal="right" vertical="top" wrapText="1"/>
    </xf>
    <xf numFmtId="165" fontId="19" fillId="2" borderId="1" xfId="21" applyNumberFormat="1" applyFont="1" applyFill="1" applyBorder="1" applyAlignment="1">
      <alignment horizontal="right" vertical="top" wrapText="1"/>
    </xf>
    <xf numFmtId="165" fontId="19" fillId="0" borderId="6" xfId="17" applyNumberFormat="1" applyFont="1" applyFill="1" applyBorder="1" applyAlignment="1">
      <alignment horizontal="right" vertical="top" wrapText="1"/>
    </xf>
    <xf numFmtId="165" fontId="8" fillId="2" borderId="5" xfId="14" quotePrefix="1" applyNumberFormat="1" applyFont="1" applyFill="1" applyBorder="1" applyAlignment="1">
      <alignment horizontal="left" vertical="top" wrapText="1"/>
    </xf>
    <xf numFmtId="165" fontId="8" fillId="2" borderId="1" xfId="14" quotePrefix="1" applyNumberFormat="1" applyFont="1" applyFill="1" applyBorder="1" applyAlignment="1">
      <alignment horizontal="left" vertical="top" wrapText="1"/>
    </xf>
    <xf numFmtId="165" fontId="8" fillId="0" borderId="6" xfId="14" quotePrefix="1" applyNumberFormat="1" applyFont="1" applyFill="1" applyBorder="1" applyAlignment="1">
      <alignment horizontal="left" vertical="top" wrapText="1"/>
    </xf>
    <xf numFmtId="165" fontId="16" fillId="2" borderId="5" xfId="21" applyNumberFormat="1" applyFont="1" applyFill="1" applyBorder="1" applyAlignment="1">
      <alignment horizontal="right" vertical="top" wrapText="1"/>
    </xf>
    <xf numFmtId="165" fontId="16" fillId="2" borderId="1" xfId="21" applyNumberFormat="1" applyFont="1" applyFill="1" applyBorder="1" applyAlignment="1">
      <alignment horizontal="right" vertical="top" wrapText="1"/>
    </xf>
    <xf numFmtId="165" fontId="19" fillId="2" borderId="6" xfId="21" applyNumberFormat="1" applyFont="1" applyFill="1" applyBorder="1" applyAlignment="1">
      <alignment horizontal="right" vertical="top" wrapText="1"/>
    </xf>
    <xf numFmtId="165" fontId="16" fillId="2" borderId="6" xfId="21" applyNumberFormat="1" applyFont="1" applyFill="1" applyBorder="1" applyAlignment="1">
      <alignment horizontal="right" vertical="top" wrapText="1"/>
    </xf>
    <xf numFmtId="165" fontId="21" fillId="2" borderId="5" xfId="33" applyNumberFormat="1" applyFont="1" applyFill="1" applyBorder="1" applyAlignment="1">
      <alignment wrapText="1"/>
    </xf>
    <xf numFmtId="165" fontId="21" fillId="2" borderId="1" xfId="33" applyNumberFormat="1" applyFont="1" applyFill="1" applyBorder="1" applyAlignment="1">
      <alignment wrapText="1"/>
    </xf>
    <xf numFmtId="165" fontId="7" fillId="2" borderId="6" xfId="21" applyNumberFormat="1" applyFont="1" applyFill="1" applyBorder="1" applyAlignment="1">
      <alignment horizontal="right" vertical="top" wrapText="1"/>
    </xf>
    <xf numFmtId="165" fontId="7" fillId="2" borderId="20" xfId="21" applyNumberFormat="1" applyFont="1" applyFill="1" applyBorder="1" applyAlignment="1">
      <alignment horizontal="right" vertical="top" wrapText="1"/>
    </xf>
    <xf numFmtId="165" fontId="7" fillId="2" borderId="1" xfId="21" applyNumberFormat="1" applyFont="1" applyFill="1" applyBorder="1" applyAlignment="1">
      <alignment horizontal="right" vertical="top" wrapText="1"/>
    </xf>
    <xf numFmtId="166" fontId="8" fillId="2" borderId="5" xfId="21" applyNumberFormat="1" applyFont="1" applyFill="1" applyBorder="1" applyAlignment="1">
      <alignment horizontal="right" vertical="top" wrapText="1"/>
    </xf>
    <xf numFmtId="165" fontId="8" fillId="2" borderId="1" xfId="21" applyNumberFormat="1" applyFont="1" applyFill="1" applyBorder="1" applyAlignment="1">
      <alignment horizontal="right" vertical="top" wrapText="1"/>
    </xf>
    <xf numFmtId="165" fontId="8" fillId="2" borderId="6" xfId="21" applyNumberFormat="1" applyFont="1" applyFill="1" applyBorder="1" applyAlignment="1">
      <alignment horizontal="right" vertical="top" wrapText="1"/>
    </xf>
    <xf numFmtId="165" fontId="35" fillId="2" borderId="5" xfId="0" applyNumberFormat="1" applyFont="1" applyFill="1" applyBorder="1"/>
    <xf numFmtId="165" fontId="35" fillId="2" borderId="1" xfId="0" applyNumberFormat="1" applyFont="1" applyFill="1" applyBorder="1"/>
    <xf numFmtId="165" fontId="16" fillId="2" borderId="21" xfId="21" applyNumberFormat="1" applyFont="1" applyFill="1" applyBorder="1" applyAlignment="1">
      <alignment horizontal="right" vertical="top" wrapText="1"/>
    </xf>
    <xf numFmtId="165" fontId="16" fillId="2" borderId="22" xfId="21" applyNumberFormat="1" applyFont="1" applyFill="1" applyBorder="1" applyAlignment="1">
      <alignment horizontal="right" vertical="top" wrapText="1"/>
    </xf>
    <xf numFmtId="165" fontId="16" fillId="2" borderId="23" xfId="21" applyNumberFormat="1" applyFont="1" applyFill="1" applyBorder="1" applyAlignment="1">
      <alignment horizontal="right" vertical="top" wrapText="1"/>
    </xf>
    <xf numFmtId="0" fontId="9" fillId="0" borderId="0" xfId="1" quotePrefix="1" applyBorder="1" applyAlignment="1">
      <alignment horizontal="center" vertical="center" wrapText="1"/>
    </xf>
    <xf numFmtId="0" fontId="9" fillId="0" borderId="0" xfId="1" quotePrefix="1" applyBorder="1" applyAlignment="1">
      <alignment vertical="top" wrapText="1"/>
    </xf>
    <xf numFmtId="0" fontId="38" fillId="0" borderId="0" xfId="34" applyFont="1" applyAlignment="1">
      <alignment horizontal="right"/>
    </xf>
    <xf numFmtId="0" fontId="20" fillId="0" borderId="0" xfId="33" applyAlignment="1">
      <alignment wrapText="1"/>
    </xf>
    <xf numFmtId="0" fontId="10" fillId="0" borderId="0" xfId="32" quotePrefix="1" applyBorder="1" applyAlignment="1">
      <alignment horizontal="center" vertical="center" wrapText="1"/>
    </xf>
    <xf numFmtId="0" fontId="10" fillId="0" borderId="0" xfId="32" applyBorder="1" applyAlignment="1">
      <alignment horizontal="center" vertical="center" wrapText="1"/>
    </xf>
    <xf numFmtId="0" fontId="10" fillId="0" borderId="0" xfId="8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0" fillId="0" borderId="0" xfId="19" quotePrefix="1" applyBorder="1" applyAlignment="1">
      <alignment vertical="top" wrapText="1"/>
    </xf>
    <xf numFmtId="0" fontId="10" fillId="0" borderId="0" xfId="19" applyBorder="1" applyAlignment="1">
      <alignment vertical="top" wrapText="1"/>
    </xf>
    <xf numFmtId="0" fontId="10" fillId="0" borderId="0" xfId="26" quotePrefix="1" applyBorder="1" applyAlignment="1">
      <alignment horizontal="center" vertical="center" wrapText="1"/>
    </xf>
    <xf numFmtId="0" fontId="10" fillId="0" borderId="0" xfId="26" applyBorder="1" applyAlignment="1">
      <alignment horizontal="left" vertical="top" wrapText="1"/>
    </xf>
    <xf numFmtId="0" fontId="20" fillId="2" borderId="0" xfId="33" applyFill="1" applyAlignment="1">
      <alignment wrapText="1"/>
    </xf>
    <xf numFmtId="0" fontId="14" fillId="2" borderId="0" xfId="31" quotePrefix="1" applyFill="1" applyAlignment="1">
      <alignment horizontal="center" vertical="center" wrapText="1"/>
    </xf>
    <xf numFmtId="0" fontId="23" fillId="2" borderId="0" xfId="28" quotePrefix="1" applyFill="1" applyBorder="1" applyAlignment="1">
      <alignment vertical="top" wrapText="1"/>
    </xf>
    <xf numFmtId="0" fontId="23" fillId="2" borderId="0" xfId="28" applyFill="1" applyBorder="1" applyAlignment="1">
      <alignment vertical="top" wrapText="1"/>
    </xf>
    <xf numFmtId="0" fontId="38" fillId="2" borderId="0" xfId="34" applyFont="1" applyFill="1" applyAlignment="1">
      <alignment horizontal="left" vertical="center"/>
    </xf>
    <xf numFmtId="0" fontId="24" fillId="2" borderId="0" xfId="36" applyFont="1" applyFill="1" applyAlignment="1" applyProtection="1">
      <alignment horizontal="left" vertical="center"/>
      <protection locked="0"/>
    </xf>
    <xf numFmtId="0" fontId="24" fillId="0" borderId="0" xfId="36" applyFont="1" applyAlignment="1" applyProtection="1">
      <alignment horizontal="left" vertical="center"/>
      <protection locked="0"/>
    </xf>
    <xf numFmtId="0" fontId="0" fillId="0" borderId="0" xfId="0" applyAlignment="1">
      <alignment vertical="center" wrapText="1"/>
    </xf>
    <xf numFmtId="0" fontId="14" fillId="0" borderId="0" xfId="31" quotePrefix="1" applyAlignment="1">
      <alignment horizontal="center" vertical="center" wrapText="1"/>
    </xf>
    <xf numFmtId="0" fontId="38" fillId="0" borderId="0" xfId="34" applyFont="1" applyAlignment="1">
      <alignment horizontal="center" vertical="center"/>
    </xf>
    <xf numFmtId="0" fontId="38" fillId="0" borderId="0" xfId="34" applyFont="1" applyAlignment="1"/>
    <xf numFmtId="0" fontId="20" fillId="0" borderId="0" xfId="33" applyAlignment="1">
      <alignment horizontal="center" vertical="center" wrapText="1"/>
    </xf>
    <xf numFmtId="170" fontId="35" fillId="0" borderId="0" xfId="34" applyNumberFormat="1" applyFont="1" applyFill="1" applyBorder="1" applyAlignment="1">
      <alignment vertical="center" wrapText="1"/>
    </xf>
    <xf numFmtId="170" fontId="39" fillId="0" borderId="0" xfId="34" applyNumberFormat="1" applyFont="1" applyFill="1" applyBorder="1" applyAlignment="1">
      <alignment horizontal="center" vertical="center" wrapText="1"/>
    </xf>
    <xf numFmtId="0" fontId="25" fillId="0" borderId="0" xfId="34" applyFont="1" applyBorder="1" applyAlignment="1">
      <alignment horizontal="center" vertical="center" wrapText="1"/>
    </xf>
    <xf numFmtId="0" fontId="35" fillId="0" borderId="0" xfId="0" applyFont="1" applyAlignment="1">
      <alignment wrapText="1"/>
    </xf>
    <xf numFmtId="0" fontId="24" fillId="0" borderId="0" xfId="36" applyFont="1" applyAlignment="1" applyProtection="1">
      <alignment vertical="center" wrapText="1"/>
      <protection locked="0"/>
    </xf>
    <xf numFmtId="0" fontId="6" fillId="2" borderId="5" xfId="18" applyNumberFormat="1" applyFont="1" applyFill="1" applyBorder="1" applyAlignment="1">
      <alignment horizontal="center" vertical="center" wrapText="1"/>
    </xf>
    <xf numFmtId="0" fontId="6" fillId="0" borderId="5" xfId="18" applyNumberFormat="1" applyFont="1" applyBorder="1" applyAlignment="1">
      <alignment horizontal="center" vertical="center" wrapText="1"/>
    </xf>
    <xf numFmtId="0" fontId="6" fillId="2" borderId="5" xfId="23" applyNumberFormat="1" applyFont="1" applyFill="1" applyBorder="1" applyAlignment="1">
      <alignment horizontal="center" vertical="center" wrapText="1"/>
    </xf>
    <xf numFmtId="1" fontId="23" fillId="2" borderId="5" xfId="23" applyNumberFormat="1" applyFont="1" applyFill="1" applyBorder="1" applyAlignment="1">
      <alignment horizontal="center" vertical="center" wrapText="1"/>
    </xf>
    <xf numFmtId="49" fontId="40" fillId="0" borderId="1" xfId="0" applyNumberFormat="1" applyFont="1" applyBorder="1" applyAlignment="1" applyProtection="1">
      <alignment horizontal="center" vertical="center" wrapText="1"/>
      <protection locked="0"/>
    </xf>
    <xf numFmtId="2" fontId="6" fillId="2" borderId="3" xfId="20" quotePrefix="1" applyNumberFormat="1" applyFont="1" applyFill="1" applyBorder="1" applyAlignment="1">
      <alignment horizontal="left" vertical="center" wrapText="1"/>
    </xf>
    <xf numFmtId="2" fontId="23" fillId="2" borderId="1" xfId="24" applyNumberFormat="1" applyFont="1" applyFill="1" applyBorder="1" applyAlignment="1">
      <alignment vertical="center" wrapText="1"/>
    </xf>
    <xf numFmtId="49" fontId="40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>
      <alignment horizontal="left" vertical="center" wrapText="1"/>
    </xf>
    <xf numFmtId="49" fontId="4" fillId="0" borderId="24" xfId="0" applyNumberFormat="1" applyFont="1" applyBorder="1" applyAlignment="1">
      <alignment horizontal="center" vertical="center" wrapText="1"/>
    </xf>
    <xf numFmtId="2" fontId="23" fillId="2" borderId="3" xfId="20" applyNumberFormat="1" applyFont="1" applyFill="1" applyBorder="1" applyAlignment="1">
      <alignment horizontal="left" vertical="top" wrapText="1"/>
    </xf>
    <xf numFmtId="0" fontId="23" fillId="2" borderId="5" xfId="23" applyNumberFormat="1" applyFont="1" applyFill="1" applyBorder="1" applyAlignment="1">
      <alignment horizontal="center" vertical="center" wrapText="1"/>
    </xf>
    <xf numFmtId="0" fontId="23" fillId="2" borderId="1" xfId="22" quotePrefix="1" applyFont="1" applyFill="1" applyBorder="1" applyAlignment="1">
      <alignment horizontal="center" vertical="center" wrapText="1"/>
    </xf>
    <xf numFmtId="0" fontId="40" fillId="2" borderId="3" xfId="0" applyFont="1" applyFill="1" applyBorder="1"/>
    <xf numFmtId="0" fontId="23" fillId="2" borderId="1" xfId="27" quotePrefix="1" applyFont="1" applyFill="1" applyBorder="1" applyAlignment="1">
      <alignment horizontal="center" vertical="center" wrapText="1"/>
    </xf>
    <xf numFmtId="0" fontId="40" fillId="2" borderId="3" xfId="0" applyFont="1" applyFill="1" applyBorder="1" applyAlignment="1">
      <alignment wrapText="1"/>
    </xf>
    <xf numFmtId="0" fontId="23" fillId="2" borderId="21" xfId="23" applyNumberFormat="1" applyFont="1" applyFill="1" applyBorder="1" applyAlignment="1">
      <alignment horizontal="center" vertical="center" wrapText="1"/>
    </xf>
    <xf numFmtId="0" fontId="23" fillId="2" borderId="22" xfId="27" quotePrefix="1" applyFont="1" applyFill="1" applyBorder="1" applyAlignment="1">
      <alignment horizontal="center" vertical="center" wrapText="1"/>
    </xf>
    <xf numFmtId="0" fontId="40" fillId="2" borderId="25" xfId="0" applyFont="1" applyFill="1" applyBorder="1" applyAlignment="1">
      <alignment wrapText="1"/>
    </xf>
    <xf numFmtId="169" fontId="18" fillId="0" borderId="5" xfId="17" applyNumberFormat="1" applyFont="1" applyFill="1" applyBorder="1" applyAlignment="1">
      <alignment horizontal="right" vertical="top" wrapText="1"/>
    </xf>
    <xf numFmtId="165" fontId="7" fillId="0" borderId="5" xfId="14" quotePrefix="1" applyNumberFormat="1" applyFont="1" applyFill="1" applyBorder="1" applyAlignment="1">
      <alignment horizontal="right" vertical="top" wrapText="1"/>
    </xf>
    <xf numFmtId="0" fontId="40" fillId="0" borderId="3" xfId="0" applyFont="1" applyFill="1" applyBorder="1" applyAlignment="1">
      <alignment vertical="center" wrapText="1"/>
    </xf>
    <xf numFmtId="0" fontId="23" fillId="0" borderId="15" xfId="12" applyNumberFormat="1" applyFont="1" applyBorder="1" applyAlignment="1">
      <alignment horizontal="center" vertical="center" wrapText="1"/>
    </xf>
    <xf numFmtId="164" fontId="29" fillId="0" borderId="40" xfId="0" applyNumberFormat="1" applyFont="1" applyBorder="1" applyAlignment="1">
      <alignment horizontal="right" vertical="center"/>
    </xf>
    <xf numFmtId="0" fontId="41" fillId="0" borderId="32" xfId="0" applyFont="1" applyBorder="1" applyAlignment="1">
      <alignment horizontal="left" vertical="center"/>
    </xf>
    <xf numFmtId="164" fontId="4" fillId="0" borderId="4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5" fontId="4" fillId="0" borderId="42" xfId="0" applyNumberFormat="1" applyFont="1" applyBorder="1" applyAlignment="1">
      <alignment horizontal="right" vertical="center"/>
    </xf>
    <xf numFmtId="0" fontId="26" fillId="0" borderId="0" xfId="0" applyFont="1" applyAlignment="1">
      <alignment horizontal="left"/>
    </xf>
    <xf numFmtId="166" fontId="42" fillId="0" borderId="32" xfId="0" applyNumberFormat="1" applyFont="1" applyBorder="1" applyAlignment="1">
      <alignment horizontal="right" vertical="center" wrapText="1"/>
    </xf>
    <xf numFmtId="0" fontId="35" fillId="0" borderId="0" xfId="0" applyFont="1" applyAlignment="1">
      <alignment horizontal="right"/>
    </xf>
    <xf numFmtId="0" fontId="35" fillId="0" borderId="0" xfId="0" applyFont="1" applyAlignment="1">
      <alignment horizontal="right" wrapText="1"/>
    </xf>
    <xf numFmtId="0" fontId="29" fillId="0" borderId="55" xfId="0" applyFont="1" applyBorder="1" applyAlignment="1">
      <alignment horizontal="center" vertical="center" wrapText="1"/>
    </xf>
    <xf numFmtId="0" fontId="29" fillId="0" borderId="56" xfId="0" applyFont="1" applyBorder="1" applyAlignment="1">
      <alignment horizontal="center" vertical="center" wrapText="1"/>
    </xf>
    <xf numFmtId="0" fontId="29" fillId="0" borderId="5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34" xfId="0" applyFont="1" applyBorder="1" applyAlignment="1">
      <alignment horizontal="left" vertical="center" wrapText="1"/>
    </xf>
    <xf numFmtId="0" fontId="29" fillId="0" borderId="33" xfId="0" applyFont="1" applyBorder="1" applyAlignment="1">
      <alignment horizontal="left" vertical="center" wrapText="1"/>
    </xf>
    <xf numFmtId="0" fontId="29" fillId="0" borderId="58" xfId="0" applyFont="1" applyBorder="1" applyAlignment="1">
      <alignment horizontal="center" vertical="center" wrapText="1"/>
    </xf>
    <xf numFmtId="0" fontId="29" fillId="0" borderId="59" xfId="0" applyFont="1" applyBorder="1" applyAlignment="1">
      <alignment horizontal="center" vertical="center" wrapText="1"/>
    </xf>
    <xf numFmtId="0" fontId="29" fillId="0" borderId="0" xfId="0" applyFont="1" applyAlignment="1">
      <alignment horizontal="left" wrapText="1"/>
    </xf>
    <xf numFmtId="0" fontId="37" fillId="0" borderId="36" xfId="0" applyFont="1" applyBorder="1" applyAlignment="1">
      <alignment horizontal="left" vertical="center" wrapText="1"/>
    </xf>
    <xf numFmtId="0" fontId="37" fillId="0" borderId="42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 wrapText="1"/>
    </xf>
    <xf numFmtId="0" fontId="44" fillId="0" borderId="35" xfId="0" applyFont="1" applyBorder="1" applyAlignment="1">
      <alignment horizontal="center" vertical="center" wrapText="1"/>
    </xf>
    <xf numFmtId="0" fontId="44" fillId="0" borderId="53" xfId="0" applyFont="1" applyBorder="1" applyAlignment="1">
      <alignment horizontal="center" vertical="center" wrapText="1"/>
    </xf>
    <xf numFmtId="0" fontId="44" fillId="0" borderId="38" xfId="0" applyFont="1" applyBorder="1" applyAlignment="1">
      <alignment horizontal="center" vertical="center" wrapText="1"/>
    </xf>
    <xf numFmtId="0" fontId="44" fillId="0" borderId="34" xfId="0" applyFont="1" applyBorder="1" applyAlignment="1">
      <alignment horizontal="center" vertical="center" wrapText="1"/>
    </xf>
    <xf numFmtId="0" fontId="44" fillId="0" borderId="33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horizontal="right" vertical="center" wrapText="1"/>
    </xf>
    <xf numFmtId="0" fontId="32" fillId="0" borderId="0" xfId="0" applyFont="1" applyBorder="1" applyAlignment="1">
      <alignment horizontal="right" vertical="center"/>
    </xf>
    <xf numFmtId="0" fontId="34" fillId="0" borderId="0" xfId="0" applyFont="1" applyBorder="1" applyAlignment="1">
      <alignment horizontal="center" vertical="center" wrapText="1"/>
    </xf>
    <xf numFmtId="0" fontId="31" fillId="0" borderId="34" xfId="0" applyFont="1" applyBorder="1" applyAlignment="1">
      <alignment horizontal="left" vertical="center" wrapText="1"/>
    </xf>
    <xf numFmtId="1" fontId="29" fillId="0" borderId="34" xfId="0" applyNumberFormat="1" applyFont="1" applyBorder="1" applyAlignment="1">
      <alignment horizontal="right" vertical="center" wrapText="1"/>
    </xf>
    <xf numFmtId="0" fontId="29" fillId="0" borderId="33" xfId="0" applyFont="1" applyBorder="1" applyAlignment="1">
      <alignment horizontal="right" vertical="center" wrapText="1"/>
    </xf>
    <xf numFmtId="166" fontId="28" fillId="0" borderId="34" xfId="0" applyNumberFormat="1" applyFont="1" applyBorder="1" applyAlignment="1">
      <alignment vertical="center" wrapText="1"/>
    </xf>
    <xf numFmtId="166" fontId="28" fillId="0" borderId="33" xfId="0" applyNumberFormat="1" applyFont="1" applyBorder="1" applyAlignment="1">
      <alignment vertical="center" wrapText="1"/>
    </xf>
    <xf numFmtId="0" fontId="29" fillId="0" borderId="31" xfId="0" applyFont="1" applyBorder="1" applyAlignment="1">
      <alignment horizontal="left" vertical="center" wrapText="1"/>
    </xf>
    <xf numFmtId="0" fontId="29" fillId="0" borderId="51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left" vertical="center" wrapText="1"/>
    </xf>
    <xf numFmtId="0" fontId="29" fillId="0" borderId="52" xfId="0" applyFont="1" applyBorder="1" applyAlignment="1">
      <alignment horizontal="left" vertical="center" wrapText="1"/>
    </xf>
    <xf numFmtId="0" fontId="29" fillId="0" borderId="60" xfId="0" applyFont="1" applyBorder="1" applyAlignment="1">
      <alignment horizontal="left" vertical="center" wrapText="1"/>
    </xf>
    <xf numFmtId="0" fontId="29" fillId="0" borderId="30" xfId="0" applyFont="1" applyBorder="1" applyAlignment="1">
      <alignment horizontal="left" vertical="center" wrapText="1"/>
    </xf>
    <xf numFmtId="0" fontId="29" fillId="0" borderId="61" xfId="0" applyFont="1" applyBorder="1" applyAlignment="1">
      <alignment horizontal="left" vertical="center" wrapText="1"/>
    </xf>
    <xf numFmtId="0" fontId="44" fillId="0" borderId="34" xfId="0" applyFont="1" applyBorder="1" applyAlignment="1">
      <alignment horizontal="left" vertical="center" wrapText="1"/>
    </xf>
    <xf numFmtId="0" fontId="44" fillId="0" borderId="33" xfId="0" applyFont="1" applyBorder="1" applyAlignment="1">
      <alignment horizontal="left" vertical="center" wrapText="1"/>
    </xf>
    <xf numFmtId="0" fontId="44" fillId="0" borderId="0" xfId="0" applyFont="1" applyAlignment="1">
      <alignment horizontal="left" vertical="center" wrapText="1"/>
    </xf>
    <xf numFmtId="166" fontId="34" fillId="0" borderId="35" xfId="0" applyNumberFormat="1" applyFont="1" applyBorder="1" applyAlignment="1">
      <alignment vertical="center" wrapText="1"/>
    </xf>
    <xf numFmtId="166" fontId="34" fillId="0" borderId="53" xfId="0" applyNumberFormat="1" applyFont="1" applyBorder="1" applyAlignment="1">
      <alignment vertical="center" wrapText="1"/>
    </xf>
    <xf numFmtId="166" fontId="34" fillId="0" borderId="38" xfId="0" applyNumberFormat="1" applyFont="1" applyBorder="1" applyAlignment="1">
      <alignment vertical="center" wrapText="1"/>
    </xf>
    <xf numFmtId="0" fontId="29" fillId="0" borderId="36" xfId="0" applyFont="1" applyBorder="1" applyAlignment="1">
      <alignment horizontal="left" vertical="center" wrapText="1"/>
    </xf>
    <xf numFmtId="0" fontId="29" fillId="0" borderId="37" xfId="0" applyFont="1" applyBorder="1" applyAlignment="1">
      <alignment horizontal="left" vertical="center" wrapText="1"/>
    </xf>
    <xf numFmtId="0" fontId="29" fillId="0" borderId="50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4" fillId="0" borderId="51" xfId="0" applyFont="1" applyBorder="1" applyAlignment="1">
      <alignment horizontal="left" vertical="center" wrapText="1"/>
    </xf>
    <xf numFmtId="0" fontId="44" fillId="0" borderId="0" xfId="0" applyFont="1" applyBorder="1" applyAlignment="1">
      <alignment horizontal="left" vertical="center" wrapText="1"/>
    </xf>
    <xf numFmtId="0" fontId="44" fillId="0" borderId="52" xfId="0" applyFont="1" applyBorder="1" applyAlignment="1">
      <alignment horizontal="left" vertical="center" wrapText="1"/>
    </xf>
    <xf numFmtId="0" fontId="44" fillId="0" borderId="60" xfId="0" applyFont="1" applyBorder="1" applyAlignment="1">
      <alignment horizontal="left" vertical="center" wrapText="1"/>
    </xf>
    <xf numFmtId="0" fontId="44" fillId="0" borderId="30" xfId="0" applyFont="1" applyBorder="1" applyAlignment="1">
      <alignment horizontal="left" vertical="center" wrapText="1"/>
    </xf>
    <xf numFmtId="0" fontId="44" fillId="0" borderId="61" xfId="0" applyFont="1" applyBorder="1" applyAlignment="1">
      <alignment horizontal="left" vertical="center" wrapText="1"/>
    </xf>
    <xf numFmtId="0" fontId="31" fillId="0" borderId="36" xfId="0" applyFont="1" applyBorder="1" applyAlignment="1">
      <alignment horizontal="left" vertical="center" wrapText="1"/>
    </xf>
    <xf numFmtId="0" fontId="31" fillId="0" borderId="37" xfId="0" applyFont="1" applyBorder="1" applyAlignment="1">
      <alignment horizontal="left" vertical="center" wrapText="1"/>
    </xf>
    <xf numFmtId="0" fontId="31" fillId="0" borderId="50" xfId="0" applyFont="1" applyBorder="1" applyAlignment="1">
      <alignment horizontal="left" vertical="center" wrapText="1"/>
    </xf>
    <xf numFmtId="0" fontId="35" fillId="0" borderId="0" xfId="34" applyFont="1" applyAlignment="1">
      <alignment horizontal="right" wrapText="1"/>
    </xf>
    <xf numFmtId="0" fontId="22" fillId="0" borderId="0" xfId="26" applyFont="1" applyBorder="1" applyAlignment="1">
      <alignment horizontal="center" vertical="top" wrapText="1"/>
    </xf>
    <xf numFmtId="0" fontId="11" fillId="0" borderId="26" xfId="2" applyFont="1" applyBorder="1" applyAlignment="1">
      <alignment horizontal="left" vertical="top" wrapText="1"/>
    </xf>
    <xf numFmtId="0" fontId="9" fillId="0" borderId="17" xfId="4" quotePrefix="1" applyBorder="1" applyAlignment="1">
      <alignment horizontal="center" vertical="center" wrapText="1"/>
    </xf>
    <xf numFmtId="0" fontId="9" fillId="0" borderId="21" xfId="4" applyBorder="1" applyAlignment="1">
      <alignment horizontal="center" vertical="center" wrapText="1"/>
    </xf>
    <xf numFmtId="0" fontId="9" fillId="0" borderId="18" xfId="5" applyBorder="1" applyAlignment="1">
      <alignment horizontal="center" vertical="center" wrapText="1"/>
    </xf>
    <xf numFmtId="0" fontId="9" fillId="0" borderId="22" xfId="5" applyBorder="1" applyAlignment="1">
      <alignment horizontal="center" vertical="center" wrapText="1"/>
    </xf>
    <xf numFmtId="0" fontId="9" fillId="0" borderId="19" xfId="3" applyBorder="1" applyAlignment="1">
      <alignment horizontal="center" vertical="center" wrapText="1"/>
    </xf>
    <xf numFmtId="0" fontId="9" fillId="0" borderId="23" xfId="3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3" fillId="0" borderId="28" xfId="7" quotePrefix="1" applyFont="1" applyBorder="1" applyAlignment="1">
      <alignment horizontal="center" vertical="center" wrapText="1"/>
    </xf>
    <xf numFmtId="0" fontId="13" fillId="0" borderId="29" xfId="7" quotePrefix="1" applyFont="1" applyBorder="1" applyAlignment="1">
      <alignment horizontal="center" vertical="center" wrapText="1"/>
    </xf>
    <xf numFmtId="0" fontId="23" fillId="2" borderId="0" xfId="29" quotePrefix="1" applyFill="1" applyAlignment="1">
      <alignment horizontal="left" vertical="top" wrapText="1"/>
    </xf>
    <xf numFmtId="0" fontId="23" fillId="2" borderId="0" xfId="29" applyFill="1" applyAlignment="1">
      <alignment horizontal="left" vertical="top" wrapText="1"/>
    </xf>
    <xf numFmtId="0" fontId="23" fillId="2" borderId="0" xfId="30" quotePrefix="1" applyFill="1" applyAlignment="1">
      <alignment horizontal="left" vertical="top" wrapText="1"/>
    </xf>
    <xf numFmtId="0" fontId="23" fillId="2" borderId="0" xfId="30" applyFill="1" applyAlignment="1">
      <alignment horizontal="left" vertical="top" wrapText="1"/>
    </xf>
    <xf numFmtId="170" fontId="35" fillId="0" borderId="0" xfId="34" applyNumberFormat="1" applyFont="1" applyFill="1" applyBorder="1" applyAlignment="1">
      <alignment horizontal="left" vertical="center" wrapText="1"/>
    </xf>
    <xf numFmtId="0" fontId="7" fillId="0" borderId="0" xfId="19" applyFont="1" applyBorder="1" applyAlignment="1">
      <alignment horizontal="right" wrapText="1"/>
    </xf>
    <xf numFmtId="0" fontId="8" fillId="0" borderId="5" xfId="14" applyFont="1" applyBorder="1" applyAlignment="1">
      <alignment horizontal="left" vertical="top" wrapText="1"/>
    </xf>
    <xf numFmtId="0" fontId="35" fillId="0" borderId="1" xfId="0" applyFont="1" applyBorder="1" applyAlignment="1">
      <alignment horizontal="left" vertical="top" wrapText="1"/>
    </xf>
    <xf numFmtId="0" fontId="35" fillId="0" borderId="3" xfId="0" applyFont="1" applyBorder="1" applyAlignment="1">
      <alignment horizontal="left" vertical="top" wrapText="1"/>
    </xf>
    <xf numFmtId="0" fontId="8" fillId="0" borderId="5" xfId="14" quotePrefix="1" applyFont="1" applyBorder="1" applyAlignment="1">
      <alignment horizontal="left" vertical="top" wrapText="1"/>
    </xf>
    <xf numFmtId="0" fontId="12" fillId="2" borderId="5" xfId="14" quotePrefix="1" applyFont="1" applyFill="1" applyBorder="1" applyAlignment="1">
      <alignment horizontal="left" vertical="top" wrapText="1"/>
    </xf>
    <xf numFmtId="0" fontId="40" fillId="2" borderId="1" xfId="0" applyFont="1" applyFill="1" applyBorder="1" applyAlignment="1">
      <alignment horizontal="left" vertical="top" wrapText="1"/>
    </xf>
    <xf numFmtId="0" fontId="40" fillId="2" borderId="3" xfId="0" applyFont="1" applyFill="1" applyBorder="1" applyAlignment="1">
      <alignment horizontal="left" vertical="top" wrapText="1"/>
    </xf>
    <xf numFmtId="0" fontId="35" fillId="0" borderId="0" xfId="0" applyFont="1" applyAlignment="1"/>
    <xf numFmtId="0" fontId="29" fillId="0" borderId="0" xfId="0" applyFont="1" applyBorder="1" applyAlignment="1">
      <alignment vertical="center"/>
    </xf>
  </cellXfs>
  <cellStyles count="37">
    <cellStyle name="S0" xfId="1"/>
    <cellStyle name="S13" xfId="2"/>
    <cellStyle name="S14" xfId="3"/>
    <cellStyle name="S15" xfId="4"/>
    <cellStyle name="S16" xfId="5"/>
    <cellStyle name="S18" xfId="6"/>
    <cellStyle name="S19" xfId="7"/>
    <cellStyle name="S2" xfId="8"/>
    <cellStyle name="S20" xfId="9"/>
    <cellStyle name="S21" xfId="10"/>
    <cellStyle name="S22" xfId="11"/>
    <cellStyle name="S23" xfId="12"/>
    <cellStyle name="S24" xfId="13"/>
    <cellStyle name="S25" xfId="14"/>
    <cellStyle name="S26" xfId="15"/>
    <cellStyle name="S27" xfId="16"/>
    <cellStyle name="S28" xfId="17"/>
    <cellStyle name="S29" xfId="18"/>
    <cellStyle name="S3" xfId="19"/>
    <cellStyle name="S30" xfId="20"/>
    <cellStyle name="S31" xfId="21"/>
    <cellStyle name="S32" xfId="22"/>
    <cellStyle name="S33" xfId="23"/>
    <cellStyle name="S34" xfId="24"/>
    <cellStyle name="S37" xfId="25"/>
    <cellStyle name="S4" xfId="26"/>
    <cellStyle name="S40" xfId="27"/>
    <cellStyle name="S44" xfId="28"/>
    <cellStyle name="S45" xfId="29"/>
    <cellStyle name="S46" xfId="30"/>
    <cellStyle name="S47" xfId="31"/>
    <cellStyle name="S5" xfId="32"/>
    <cellStyle name="Обычный" xfId="0" builtinId="0"/>
    <cellStyle name="Обычный 2" xfId="33"/>
    <cellStyle name="Обычный 4 2" xfId="34"/>
    <cellStyle name="Процентный" xfId="35" builtinId="5"/>
    <cellStyle name="Стиль 1" xfId="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390525</xdr:colOff>
      <xdr:row>44</xdr:row>
      <xdr:rowOff>123825</xdr:rowOff>
    </xdr:from>
    <xdr:to>
      <xdr:col>4</xdr:col>
      <xdr:colOff>685800</xdr:colOff>
      <xdr:row>47</xdr:row>
      <xdr:rowOff>85725</xdr:rowOff>
    </xdr:to>
    <xdr:pic>
      <xdr:nvPicPr>
        <xdr:cNvPr id="107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1200" y="9525000"/>
          <a:ext cx="12001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3190875</xdr:colOff>
      <xdr:row>47</xdr:row>
      <xdr:rowOff>180975</xdr:rowOff>
    </xdr:from>
    <xdr:to>
      <xdr:col>5</xdr:col>
      <xdr:colOff>114300</xdr:colOff>
      <xdr:row>50</xdr:row>
      <xdr:rowOff>171450</xdr:rowOff>
    </xdr:to>
    <xdr:pic>
      <xdr:nvPicPr>
        <xdr:cNvPr id="1071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EFF"/>
            </a:clrFrom>
            <a:clrTo>
              <a:srgbClr val="FFFE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" t="9271" r="8794" b="10971"/>
        <a:stretch>
          <a:fillRect/>
        </a:stretch>
      </xdr:blipFill>
      <xdr:spPr bwMode="auto">
        <a:xfrm>
          <a:off x="5400675" y="10096500"/>
          <a:ext cx="19240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457200</xdr:colOff>
      <xdr:row>4</xdr:row>
      <xdr:rowOff>92075</xdr:rowOff>
    </xdr:from>
    <xdr:to>
      <xdr:col>11</xdr:col>
      <xdr:colOff>677333</xdr:colOff>
      <xdr:row>8</xdr:row>
      <xdr:rowOff>120650</xdr:rowOff>
    </xdr:to>
    <xdr:pic>
      <xdr:nvPicPr>
        <xdr:cNvPr id="1072" name="Рисунок 3" descr="Подпись Размыслова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94950" y="1213908"/>
          <a:ext cx="2781300" cy="8964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476250</xdr:colOff>
      <xdr:row>2</xdr:row>
      <xdr:rowOff>314325</xdr:rowOff>
    </xdr:from>
    <xdr:to>
      <xdr:col>5</xdr:col>
      <xdr:colOff>495300</xdr:colOff>
      <xdr:row>3</xdr:row>
      <xdr:rowOff>85725</xdr:rowOff>
    </xdr:to>
    <xdr:pic>
      <xdr:nvPicPr>
        <xdr:cNvPr id="2094" name="Рисунок 1" descr="Подпись Размыслова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0175" y="1276350"/>
          <a:ext cx="18669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66675</xdr:colOff>
      <xdr:row>25</xdr:row>
      <xdr:rowOff>95250</xdr:rowOff>
    </xdr:from>
    <xdr:to>
      <xdr:col>4</xdr:col>
      <xdr:colOff>1571625</xdr:colOff>
      <xdr:row>26</xdr:row>
      <xdr:rowOff>123825</xdr:rowOff>
    </xdr:to>
    <xdr:pic>
      <xdr:nvPicPr>
        <xdr:cNvPr id="209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EFF"/>
            </a:clrFrom>
            <a:clrTo>
              <a:srgbClr val="FFFE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" t="9271" r="8794" b="10971"/>
        <a:stretch>
          <a:fillRect/>
        </a:stretch>
      </xdr:blipFill>
      <xdr:spPr bwMode="auto">
        <a:xfrm>
          <a:off x="4800600" y="8181975"/>
          <a:ext cx="15049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333375</xdr:colOff>
      <xdr:row>21</xdr:row>
      <xdr:rowOff>76200</xdr:rowOff>
    </xdr:from>
    <xdr:to>
      <xdr:col>4</xdr:col>
      <xdr:colOff>1200150</xdr:colOff>
      <xdr:row>23</xdr:row>
      <xdr:rowOff>171450</xdr:rowOff>
    </xdr:to>
    <xdr:pic>
      <xdr:nvPicPr>
        <xdr:cNvPr id="2096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7300" y="7400925"/>
          <a:ext cx="8667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3</xdr:row>
      <xdr:rowOff>123825</xdr:rowOff>
    </xdr:from>
    <xdr:to>
      <xdr:col>6</xdr:col>
      <xdr:colOff>714375</xdr:colOff>
      <xdr:row>5</xdr:row>
      <xdr:rowOff>85725</xdr:rowOff>
    </xdr:to>
    <xdr:pic>
      <xdr:nvPicPr>
        <xdr:cNvPr id="3100" name="Рисунок 3" descr="Подпись Размыслова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695325"/>
          <a:ext cx="172402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2257425</xdr:colOff>
      <xdr:row>31</xdr:row>
      <xdr:rowOff>180975</xdr:rowOff>
    </xdr:from>
    <xdr:to>
      <xdr:col>3</xdr:col>
      <xdr:colOff>714375</xdr:colOff>
      <xdr:row>34</xdr:row>
      <xdr:rowOff>152400</xdr:rowOff>
    </xdr:to>
    <xdr:pic>
      <xdr:nvPicPr>
        <xdr:cNvPr id="3101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EFF"/>
            </a:clrFrom>
            <a:clrTo>
              <a:srgbClr val="FFFE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" t="9271" r="8794" b="10971"/>
        <a:stretch>
          <a:fillRect/>
        </a:stretch>
      </xdr:blipFill>
      <xdr:spPr bwMode="auto">
        <a:xfrm>
          <a:off x="4219575" y="7277100"/>
          <a:ext cx="16668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781050</xdr:colOff>
      <xdr:row>35</xdr:row>
      <xdr:rowOff>9525</xdr:rowOff>
    </xdr:from>
    <xdr:to>
      <xdr:col>2</xdr:col>
      <xdr:colOff>1857375</xdr:colOff>
      <xdr:row>37</xdr:row>
      <xdr:rowOff>104775</xdr:rowOff>
    </xdr:to>
    <xdr:pic>
      <xdr:nvPicPr>
        <xdr:cNvPr id="310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0" y="7886700"/>
          <a:ext cx="10763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zoomScale="90" zoomScaleNormal="90" zoomScaleSheetLayoutView="100" workbookViewId="0">
      <selection activeCell="U4" sqref="U4"/>
    </sheetView>
  </sheetViews>
  <sheetFormatPr defaultColWidth="9" defaultRowHeight="15" x14ac:dyDescent="0.25"/>
  <cols>
    <col min="1" max="1" width="4.5703125" style="1" customWidth="1"/>
    <col min="2" max="2" width="35" style="1" customWidth="1"/>
    <col min="3" max="3" width="41.42578125" style="1" customWidth="1"/>
    <col min="4" max="5" width="13.5703125" style="1" customWidth="1"/>
    <col min="6" max="6" width="12.85546875" style="1" customWidth="1"/>
    <col min="7" max="7" width="12.42578125" style="1" customWidth="1"/>
    <col min="8" max="8" width="15.42578125" style="1" customWidth="1"/>
    <col min="9" max="10" width="12.7109375" style="1" customWidth="1"/>
    <col min="11" max="11" width="13" style="1" customWidth="1"/>
    <col min="12" max="12" width="12" style="1" customWidth="1"/>
    <col min="13" max="13" width="13.7109375" style="1" customWidth="1"/>
    <col min="14" max="15" width="13.5703125" hidden="1" customWidth="1"/>
    <col min="16" max="16" width="14.140625" hidden="1" customWidth="1"/>
    <col min="17" max="17" width="11.42578125" hidden="1" customWidth="1"/>
    <col min="18" max="18" width="11.28515625" hidden="1" customWidth="1"/>
  </cols>
  <sheetData>
    <row r="1" spans="1:18" s="1" customFormat="1" ht="12.95" customHeight="1" x14ac:dyDescent="0.25"/>
    <row r="2" spans="1:18" s="1" customFormat="1" ht="12.95" customHeight="1" x14ac:dyDescent="0.25">
      <c r="B2" s="6" t="s">
        <v>3</v>
      </c>
      <c r="C2" s="287" t="s">
        <v>4</v>
      </c>
      <c r="D2" s="287"/>
      <c r="E2" s="287"/>
      <c r="F2" s="287"/>
      <c r="G2" s="287"/>
      <c r="H2" s="287"/>
      <c r="I2" s="287"/>
      <c r="J2" s="287"/>
      <c r="K2" s="287"/>
      <c r="M2" s="112" t="s">
        <v>10</v>
      </c>
    </row>
    <row r="3" spans="1:18" s="1" customFormat="1" ht="12.95" customHeight="1" x14ac:dyDescent="0.25">
      <c r="C3" s="288" t="s">
        <v>19</v>
      </c>
      <c r="D3" s="288"/>
      <c r="E3" s="288"/>
      <c r="F3" s="288"/>
      <c r="G3" s="288"/>
      <c r="H3" s="288"/>
      <c r="I3" s="288"/>
      <c r="J3" s="288"/>
      <c r="K3" s="288"/>
    </row>
    <row r="4" spans="1:18" s="1" customFormat="1" ht="51" customHeight="1" x14ac:dyDescent="0.25">
      <c r="B4" s="6"/>
      <c r="I4" s="274" t="s">
        <v>80</v>
      </c>
      <c r="J4" s="274"/>
      <c r="K4" s="274"/>
      <c r="L4" s="274"/>
      <c r="M4" s="274"/>
    </row>
    <row r="5" spans="1:18" s="1" customFormat="1" ht="12.95" customHeight="1" x14ac:dyDescent="0.25">
      <c r="C5" s="6" t="s">
        <v>20</v>
      </c>
      <c r="D5" s="27"/>
      <c r="E5" s="117"/>
      <c r="F5" s="27"/>
      <c r="G5" s="27"/>
      <c r="H5" s="27"/>
      <c r="N5" s="116"/>
      <c r="O5" s="116"/>
      <c r="P5" s="273"/>
      <c r="Q5" s="273"/>
      <c r="R5" s="273"/>
    </row>
    <row r="6" spans="1:18" s="1" customFormat="1" ht="30.75" customHeight="1" x14ac:dyDescent="0.25">
      <c r="B6" s="359" t="s">
        <v>21</v>
      </c>
      <c r="C6" s="359"/>
      <c r="D6" s="359"/>
      <c r="E6" s="359"/>
      <c r="F6" s="359"/>
      <c r="G6" s="359"/>
      <c r="H6" s="359"/>
      <c r="I6" s="359"/>
      <c r="J6" s="359"/>
      <c r="K6" s="359"/>
      <c r="L6" s="274" t="s">
        <v>81</v>
      </c>
      <c r="M6" s="274"/>
      <c r="O6" s="358"/>
      <c r="P6" s="358"/>
      <c r="Q6" s="358"/>
      <c r="R6" s="358"/>
    </row>
    <row r="7" spans="1:18" s="1" customFormat="1" ht="12.95" customHeight="1" x14ac:dyDescent="0.25"/>
    <row r="8" spans="1:18" s="1" customFormat="1" ht="12.95" customHeight="1" x14ac:dyDescent="0.25"/>
    <row r="9" spans="1:18" s="1" customFormat="1" ht="12.95" customHeight="1" x14ac:dyDescent="0.25">
      <c r="B9" s="289" t="s">
        <v>126</v>
      </c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289"/>
    </row>
    <row r="10" spans="1:18" s="1" customFormat="1" ht="12.95" customHeight="1" x14ac:dyDescent="0.25"/>
    <row r="11" spans="1:18" s="1" customFormat="1" ht="12.95" customHeight="1" x14ac:dyDescent="0.25">
      <c r="B11" s="3" t="s">
        <v>13</v>
      </c>
      <c r="C11" s="26" t="s">
        <v>130</v>
      </c>
      <c r="D11" s="26"/>
      <c r="E11" s="26"/>
      <c r="F11" s="26"/>
      <c r="G11" s="26"/>
      <c r="H11" s="26"/>
    </row>
    <row r="12" spans="1:18" s="1" customFormat="1" x14ac:dyDescent="0.25">
      <c r="B12" s="290" t="s">
        <v>129</v>
      </c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</row>
    <row r="13" spans="1:18" s="1" customFormat="1" ht="12.95" customHeight="1" x14ac:dyDescent="0.25">
      <c r="B13" s="7"/>
      <c r="C13" s="288" t="s">
        <v>14</v>
      </c>
      <c r="D13" s="288"/>
      <c r="E13" s="288"/>
      <c r="F13" s="288"/>
      <c r="G13" s="288"/>
      <c r="H13" s="288"/>
      <c r="I13" s="288"/>
      <c r="J13" s="288"/>
      <c r="K13" s="288"/>
      <c r="L13" s="288"/>
      <c r="M13" s="288"/>
    </row>
    <row r="14" spans="1:18" s="1" customFormat="1" ht="12.95" customHeight="1" x14ac:dyDescent="0.25">
      <c r="B14" s="287" t="s">
        <v>65</v>
      </c>
      <c r="C14" s="287"/>
      <c r="D14" s="287"/>
      <c r="E14" s="287"/>
      <c r="F14" s="287"/>
      <c r="G14" s="287"/>
      <c r="H14" s="287"/>
      <c r="I14" s="287"/>
      <c r="J14" s="287"/>
      <c r="K14" s="287"/>
      <c r="L14" s="287"/>
      <c r="M14" s="287"/>
    </row>
    <row r="15" spans="1:18" s="1" customFormat="1" ht="12.95" customHeight="1" thickBot="1" x14ac:dyDescent="0.3">
      <c r="A15" s="8"/>
      <c r="B15" s="8"/>
      <c r="C15" s="8"/>
      <c r="D15" s="27"/>
      <c r="E15" s="117"/>
      <c r="F15" s="27"/>
      <c r="G15" s="27"/>
      <c r="H15" s="27"/>
      <c r="I15" s="27"/>
      <c r="J15" s="117"/>
      <c r="K15" s="27"/>
      <c r="L15" s="27"/>
      <c r="M15" s="27" t="s">
        <v>22</v>
      </c>
    </row>
    <row r="16" spans="1:18" s="1" customFormat="1" ht="26.25" customHeight="1" x14ac:dyDescent="0.25">
      <c r="A16" s="280" t="s">
        <v>23</v>
      </c>
      <c r="B16" s="280" t="s">
        <v>24</v>
      </c>
      <c r="C16" s="280" t="s">
        <v>25</v>
      </c>
      <c r="D16" s="275" t="s">
        <v>93</v>
      </c>
      <c r="E16" s="276"/>
      <c r="F16" s="276"/>
      <c r="G16" s="277"/>
      <c r="H16" s="282" t="s">
        <v>26</v>
      </c>
      <c r="I16" s="275" t="s">
        <v>50</v>
      </c>
      <c r="J16" s="276"/>
      <c r="K16" s="276"/>
      <c r="L16" s="277"/>
      <c r="M16" s="282" t="s">
        <v>26</v>
      </c>
      <c r="N16" s="275" t="s">
        <v>62</v>
      </c>
      <c r="O16" s="276"/>
      <c r="P16" s="276"/>
      <c r="Q16" s="277"/>
      <c r="R16" s="278" t="s">
        <v>26</v>
      </c>
    </row>
    <row r="17" spans="1:18" s="1" customFormat="1" ht="39.950000000000003" customHeight="1" x14ac:dyDescent="0.25">
      <c r="A17" s="281"/>
      <c r="B17" s="281"/>
      <c r="C17" s="281"/>
      <c r="D17" s="50" t="s">
        <v>89</v>
      </c>
      <c r="E17" s="128" t="s">
        <v>88</v>
      </c>
      <c r="F17" s="129" t="s">
        <v>90</v>
      </c>
      <c r="G17" s="129" t="s">
        <v>91</v>
      </c>
      <c r="H17" s="283"/>
      <c r="I17" s="50" t="s">
        <v>89</v>
      </c>
      <c r="J17" s="128" t="s">
        <v>88</v>
      </c>
      <c r="K17" s="129" t="s">
        <v>90</v>
      </c>
      <c r="L17" s="129" t="s">
        <v>91</v>
      </c>
      <c r="M17" s="283"/>
      <c r="N17" s="50" t="s">
        <v>89</v>
      </c>
      <c r="O17" s="128" t="s">
        <v>88</v>
      </c>
      <c r="P17" s="129" t="s">
        <v>90</v>
      </c>
      <c r="Q17" s="129" t="s">
        <v>91</v>
      </c>
      <c r="R17" s="279"/>
    </row>
    <row r="18" spans="1:18" s="1" customFormat="1" ht="12.95" customHeight="1" x14ac:dyDescent="0.25">
      <c r="A18" s="10">
        <v>1</v>
      </c>
      <c r="B18" s="10">
        <v>2</v>
      </c>
      <c r="C18" s="36">
        <v>3</v>
      </c>
      <c r="D18" s="127">
        <v>4</v>
      </c>
      <c r="E18" s="37">
        <v>5</v>
      </c>
      <c r="F18" s="37">
        <v>6</v>
      </c>
      <c r="G18" s="37">
        <v>7</v>
      </c>
      <c r="H18" s="120">
        <v>8</v>
      </c>
      <c r="I18" s="51">
        <v>9</v>
      </c>
      <c r="J18" s="120"/>
      <c r="K18" s="10">
        <v>10</v>
      </c>
      <c r="L18" s="10">
        <v>6</v>
      </c>
      <c r="M18" s="52">
        <v>7</v>
      </c>
      <c r="N18" s="80">
        <v>8</v>
      </c>
      <c r="O18" s="131"/>
      <c r="P18" s="37">
        <v>9</v>
      </c>
      <c r="Q18" s="37">
        <v>10</v>
      </c>
      <c r="R18" s="81">
        <v>11</v>
      </c>
    </row>
    <row r="19" spans="1:18" s="1" customFormat="1" ht="12.95" customHeight="1" x14ac:dyDescent="0.25">
      <c r="A19" s="11"/>
      <c r="B19" s="34" t="s">
        <v>48</v>
      </c>
      <c r="C19" s="35"/>
      <c r="D19" s="53"/>
      <c r="E19" s="130"/>
      <c r="F19" s="145"/>
      <c r="G19" s="145"/>
      <c r="H19" s="54"/>
      <c r="I19" s="53"/>
      <c r="J19" s="35"/>
      <c r="K19" s="35"/>
      <c r="L19" s="35"/>
      <c r="M19" s="54"/>
      <c r="N19" s="82"/>
      <c r="O19" s="83"/>
      <c r="P19" s="152"/>
      <c r="Q19" s="83"/>
      <c r="R19" s="84"/>
    </row>
    <row r="20" spans="1:18" s="1" customFormat="1" ht="12.95" customHeight="1" x14ac:dyDescent="0.25">
      <c r="A20" s="43">
        <v>1</v>
      </c>
      <c r="B20" s="9" t="s">
        <v>87</v>
      </c>
      <c r="C20" s="39" t="s">
        <v>94</v>
      </c>
      <c r="D20" s="53"/>
      <c r="E20" s="144">
        <v>151.363</v>
      </c>
      <c r="F20" s="147"/>
      <c r="G20" s="147"/>
      <c r="H20" s="135">
        <f>SUM(D20:G20)</f>
        <v>151.363</v>
      </c>
      <c r="I20" s="55">
        <f>D20/9.53</f>
        <v>0</v>
      </c>
      <c r="J20" s="121">
        <f>E20/9.53</f>
        <v>15.882791185729277</v>
      </c>
      <c r="K20" s="35"/>
      <c r="L20" s="35"/>
      <c r="M20" s="56">
        <f>SUM(I20:L20)</f>
        <v>15.882791185729277</v>
      </c>
      <c r="N20" s="154">
        <f>I20*9.03</f>
        <v>0</v>
      </c>
      <c r="O20" s="45">
        <f>J20*9.03</f>
        <v>143.42160440713536</v>
      </c>
      <c r="P20" s="45"/>
      <c r="Q20" s="121"/>
      <c r="R20" s="56">
        <f>SUM(N20:Q20)</f>
        <v>143.42160440713536</v>
      </c>
    </row>
    <row r="21" spans="1:18" s="1" customFormat="1" x14ac:dyDescent="0.25">
      <c r="A21" s="43">
        <v>2</v>
      </c>
      <c r="B21" s="9" t="s">
        <v>87</v>
      </c>
      <c r="C21" s="39" t="s">
        <v>92</v>
      </c>
      <c r="D21" s="55">
        <v>17.658000000000001</v>
      </c>
      <c r="E21" s="144">
        <f>320.75+23.693</f>
        <v>344.44299999999998</v>
      </c>
      <c r="F21" s="148">
        <v>2583.3333299999999</v>
      </c>
      <c r="G21" s="45"/>
      <c r="H21" s="135">
        <f>SUM(D21:G21)</f>
        <v>2945.43433</v>
      </c>
      <c r="I21" s="55">
        <f>D21/9.53</f>
        <v>1.8528856243441765</v>
      </c>
      <c r="J21" s="121">
        <f>E21/9.53</f>
        <v>36.143022035676807</v>
      </c>
      <c r="K21" s="17">
        <f>F21/4.65</f>
        <v>555.55555483870967</v>
      </c>
      <c r="L21" s="17"/>
      <c r="M21" s="56">
        <f>SUM(I21:L21)</f>
        <v>593.55146249873064</v>
      </c>
      <c r="N21" s="154">
        <f>I21*9.03</f>
        <v>16.731557187827914</v>
      </c>
      <c r="O21" s="45">
        <f>J21*9.03</f>
        <v>326.37148898216157</v>
      </c>
      <c r="P21" s="45">
        <f>K21*4.44</f>
        <v>2466.6666634838712</v>
      </c>
      <c r="Q21" s="121"/>
      <c r="R21" s="56">
        <f>SUM(N21:Q21)</f>
        <v>2809.7697096538604</v>
      </c>
    </row>
    <row r="22" spans="1:18" s="1" customFormat="1" ht="12.95" customHeight="1" x14ac:dyDescent="0.25">
      <c r="A22" s="43"/>
      <c r="B22" s="12"/>
      <c r="C22" s="48" t="s">
        <v>51</v>
      </c>
      <c r="D22" s="137">
        <f>SUM(D21)</f>
        <v>17.658000000000001</v>
      </c>
      <c r="E22" s="122">
        <f>SUM(E20:E21)</f>
        <v>495.80599999999998</v>
      </c>
      <c r="F22" s="146">
        <f>SUM(F21)</f>
        <v>2583.3333299999999</v>
      </c>
      <c r="G22" s="91">
        <f>SUM(G21)</f>
        <v>0</v>
      </c>
      <c r="H22" s="136">
        <f>SUM(D22:G22)</f>
        <v>3096.7973299999999</v>
      </c>
      <c r="I22" s="57">
        <f>SUM(I21)</f>
        <v>1.8528856243441765</v>
      </c>
      <c r="J22" s="16">
        <f>SUM(J20:J21)</f>
        <v>52.025813221406082</v>
      </c>
      <c r="K22" s="16">
        <f>SUM(K21)</f>
        <v>555.55555483870967</v>
      </c>
      <c r="L22" s="16">
        <f>SUM(L21)</f>
        <v>0</v>
      </c>
      <c r="M22" s="58">
        <f>SUM(I22:L22)</f>
        <v>609.43425368445992</v>
      </c>
      <c r="N22" s="55">
        <f>SUM(N20:N21)</f>
        <v>16.731557187827914</v>
      </c>
      <c r="O22" s="45">
        <f>SUM(O20:O21)</f>
        <v>469.79309338929693</v>
      </c>
      <c r="P22" s="45">
        <f>SUM(P21)</f>
        <v>2466.6666634838712</v>
      </c>
      <c r="Q22" s="121">
        <f>SUM(Q21)</f>
        <v>0</v>
      </c>
      <c r="R22" s="69">
        <f>SUM(N22:Q22)</f>
        <v>2953.1913140609959</v>
      </c>
    </row>
    <row r="23" spans="1:18" s="1" customFormat="1" ht="12.95" customHeight="1" x14ac:dyDescent="0.25">
      <c r="A23" s="44"/>
      <c r="B23" s="46" t="s">
        <v>27</v>
      </c>
      <c r="C23" s="47"/>
      <c r="D23" s="59"/>
      <c r="E23" s="47"/>
      <c r="F23" s="47"/>
      <c r="G23" s="47"/>
      <c r="H23" s="60"/>
      <c r="I23" s="59"/>
      <c r="J23" s="47"/>
      <c r="K23" s="47"/>
      <c r="L23" s="47"/>
      <c r="M23" s="60"/>
      <c r="N23" s="55"/>
      <c r="O23" s="149"/>
      <c r="P23" s="45"/>
      <c r="Q23" s="121"/>
      <c r="R23" s="88"/>
    </row>
    <row r="24" spans="1:18" s="1" customFormat="1" x14ac:dyDescent="0.25">
      <c r="A24" s="43">
        <v>3</v>
      </c>
      <c r="B24" s="9" t="s">
        <v>87</v>
      </c>
      <c r="C24" s="39" t="s">
        <v>52</v>
      </c>
      <c r="D24" s="61"/>
      <c r="E24" s="123"/>
      <c r="F24" s="41"/>
      <c r="G24" s="42">
        <v>420.21100000000001</v>
      </c>
      <c r="H24" s="62">
        <f>SUM(D24:G24)</f>
        <v>420.21100000000001</v>
      </c>
      <c r="I24" s="61"/>
      <c r="J24" s="123"/>
      <c r="K24" s="41"/>
      <c r="L24" s="42">
        <f>ROUND(G24/17.18,5)</f>
        <v>24.459309999999999</v>
      </c>
      <c r="M24" s="62">
        <f>SUM(I24:L24)</f>
        <v>24.459309999999999</v>
      </c>
      <c r="N24" s="55"/>
      <c r="O24" s="149"/>
      <c r="P24" s="45"/>
      <c r="Q24" s="121">
        <f>L24*16.26</f>
        <v>397.7083806</v>
      </c>
      <c r="R24" s="56">
        <f>SUM(N24:Q24)</f>
        <v>397.7083806</v>
      </c>
    </row>
    <row r="25" spans="1:18" s="1" customFormat="1" x14ac:dyDescent="0.25">
      <c r="A25" s="43">
        <v>4</v>
      </c>
      <c r="B25" s="9" t="s">
        <v>87</v>
      </c>
      <c r="C25" s="39" t="s">
        <v>53</v>
      </c>
      <c r="D25" s="61"/>
      <c r="E25" s="123"/>
      <c r="F25" s="41"/>
      <c r="G25" s="42">
        <v>41.408999999999999</v>
      </c>
      <c r="H25" s="62">
        <f>SUM(D25:G25)</f>
        <v>41.408999999999999</v>
      </c>
      <c r="I25" s="61"/>
      <c r="J25" s="123"/>
      <c r="K25" s="41"/>
      <c r="L25" s="42">
        <f>ROUND(G25/9.19,5)</f>
        <v>4.5058800000000003</v>
      </c>
      <c r="M25" s="62">
        <f>SUM(I25:L25)</f>
        <v>4.5058800000000003</v>
      </c>
      <c r="N25" s="55"/>
      <c r="O25" s="149"/>
      <c r="P25" s="45"/>
      <c r="Q25" s="121">
        <f>L25*8.74</f>
        <v>39.381391200000003</v>
      </c>
      <c r="R25" s="56">
        <f>SUM(N25:Q25)</f>
        <v>39.381391200000003</v>
      </c>
    </row>
    <row r="26" spans="1:18" s="1" customFormat="1" ht="12.95" customHeight="1" x14ac:dyDescent="0.25">
      <c r="A26" s="12"/>
      <c r="B26" s="12"/>
      <c r="C26" s="48" t="s">
        <v>54</v>
      </c>
      <c r="D26" s="63">
        <f>SUM(D24:D25)</f>
        <v>0</v>
      </c>
      <c r="E26" s="40">
        <f>SUM(E24:E25)</f>
        <v>0</v>
      </c>
      <c r="F26" s="40">
        <f>SUM(F24:F25)</f>
        <v>0</v>
      </c>
      <c r="G26" s="40">
        <f>SUM(G24:G25)</f>
        <v>461.62</v>
      </c>
      <c r="H26" s="64">
        <f>SUM(D26:G26)</f>
        <v>461.62</v>
      </c>
      <c r="I26" s="63">
        <f>SUM(I24:I25)</f>
        <v>0</v>
      </c>
      <c r="J26" s="40">
        <f>SUM(J24:J25)</f>
        <v>0</v>
      </c>
      <c r="K26" s="40">
        <f>SUM(K24:K25)</f>
        <v>0</v>
      </c>
      <c r="L26" s="40">
        <f>SUM(L24:L25)</f>
        <v>28.96519</v>
      </c>
      <c r="M26" s="64">
        <f>SUM(I26:L26)</f>
        <v>28.96519</v>
      </c>
      <c r="N26" s="45">
        <f>SUM(N24:N25)</f>
        <v>0</v>
      </c>
      <c r="O26" s="45">
        <f>SUM(O24:O25)</f>
        <v>0</v>
      </c>
      <c r="P26" s="45">
        <f>SUM(P24:P25)</f>
        <v>0</v>
      </c>
      <c r="Q26" s="121">
        <f>SUM(Q24:Q25)</f>
        <v>437.08977179999999</v>
      </c>
      <c r="R26" s="92">
        <f>SUM(N26:Q26)</f>
        <v>437.08977179999999</v>
      </c>
    </row>
    <row r="27" spans="1:18" s="1" customFormat="1" ht="12.95" customHeight="1" x14ac:dyDescent="0.25">
      <c r="A27" s="12"/>
      <c r="B27" s="12"/>
      <c r="C27" s="48" t="s">
        <v>55</v>
      </c>
      <c r="D27" s="137">
        <f t="shared" ref="D27:R27" si="0">D22+D26</f>
        <v>17.658000000000001</v>
      </c>
      <c r="E27" s="136">
        <f t="shared" si="0"/>
        <v>495.80599999999998</v>
      </c>
      <c r="F27" s="136">
        <f t="shared" si="0"/>
        <v>2583.3333299999999</v>
      </c>
      <c r="G27" s="16">
        <f t="shared" si="0"/>
        <v>461.62</v>
      </c>
      <c r="H27" s="136">
        <f>SUM(D27:G27)</f>
        <v>3558.4173299999998</v>
      </c>
      <c r="I27" s="65">
        <f t="shared" si="0"/>
        <v>1.8528856243441765</v>
      </c>
      <c r="J27" s="15">
        <f t="shared" si="0"/>
        <v>52.025813221406082</v>
      </c>
      <c r="K27" s="15">
        <f t="shared" si="0"/>
        <v>555.55555483870967</v>
      </c>
      <c r="L27" s="15">
        <f t="shared" si="0"/>
        <v>28.96519</v>
      </c>
      <c r="M27" s="58">
        <f t="shared" si="0"/>
        <v>638.39944368445992</v>
      </c>
      <c r="N27" s="65">
        <f t="shared" si="0"/>
        <v>16.731557187827914</v>
      </c>
      <c r="O27" s="15">
        <f t="shared" si="0"/>
        <v>469.79309338929693</v>
      </c>
      <c r="P27" s="15">
        <f t="shared" si="0"/>
        <v>2466.6666634838712</v>
      </c>
      <c r="Q27" s="15">
        <f t="shared" si="0"/>
        <v>437.08977179999999</v>
      </c>
      <c r="R27" s="58">
        <f t="shared" si="0"/>
        <v>3390.281085860996</v>
      </c>
    </row>
    <row r="28" spans="1:18" s="1" customFormat="1" ht="12.95" customHeight="1" x14ac:dyDescent="0.25">
      <c r="A28" s="12"/>
      <c r="B28" s="34" t="s">
        <v>28</v>
      </c>
      <c r="C28" s="35"/>
      <c r="D28" s="53"/>
      <c r="E28" s="35"/>
      <c r="F28" s="35"/>
      <c r="G28" s="35"/>
      <c r="H28" s="54"/>
      <c r="I28" s="53"/>
      <c r="J28" s="35"/>
      <c r="K28" s="35"/>
      <c r="L28" s="35"/>
      <c r="M28" s="54"/>
      <c r="N28" s="55"/>
      <c r="O28" s="149"/>
      <c r="P28" s="45"/>
      <c r="Q28" s="121"/>
      <c r="R28" s="88"/>
    </row>
    <row r="29" spans="1:18" s="1" customFormat="1" ht="30.75" customHeight="1" x14ac:dyDescent="0.25">
      <c r="A29" s="43">
        <v>4</v>
      </c>
      <c r="B29" s="138" t="s">
        <v>97</v>
      </c>
      <c r="C29" s="39" t="s">
        <v>57</v>
      </c>
      <c r="D29" s="66"/>
      <c r="E29" s="124"/>
      <c r="F29" s="11"/>
      <c r="G29" s="13">
        <f>ROUND(H27*2.14%,5)</f>
        <v>76.150130000000004</v>
      </c>
      <c r="H29" s="67">
        <f>SUM(D29:G29)</f>
        <v>76.150130000000004</v>
      </c>
      <c r="I29" s="66"/>
      <c r="J29" s="124"/>
      <c r="K29" s="11"/>
      <c r="L29" s="13">
        <f>ROUND(M27*2.14%,5)</f>
        <v>13.66175</v>
      </c>
      <c r="M29" s="67">
        <f>SUM(I29:L29)</f>
        <v>13.66175</v>
      </c>
      <c r="N29" s="93"/>
      <c r="O29" s="150"/>
      <c r="P29" s="153"/>
      <c r="Q29" s="121">
        <f>R27*2.14%</f>
        <v>72.552015237425323</v>
      </c>
      <c r="R29" s="56">
        <f>SUM(N29:Q29)</f>
        <v>72.552015237425323</v>
      </c>
    </row>
    <row r="30" spans="1:18" s="1" customFormat="1" ht="22.5" customHeight="1" x14ac:dyDescent="0.25">
      <c r="A30" s="43">
        <v>5</v>
      </c>
      <c r="B30" s="138" t="s">
        <v>96</v>
      </c>
      <c r="C30" s="39" t="s">
        <v>56</v>
      </c>
      <c r="D30" s="66"/>
      <c r="E30" s="124"/>
      <c r="F30" s="11"/>
      <c r="G30" s="13">
        <f>ROUNDUP(H27*3.73%,5)</f>
        <v>132.72897</v>
      </c>
      <c r="H30" s="67">
        <f>SUM(D30:G30)</f>
        <v>132.72897</v>
      </c>
      <c r="I30" s="66"/>
      <c r="J30" s="124"/>
      <c r="K30" s="11"/>
      <c r="L30" s="13">
        <f>ROUNDUP(M27*3.73%,5)</f>
        <v>23.8123</v>
      </c>
      <c r="M30" s="67">
        <f>SUM(I30:L30)</f>
        <v>23.8123</v>
      </c>
      <c r="N30" s="93"/>
      <c r="O30" s="133"/>
      <c r="P30" s="151"/>
      <c r="Q30" s="17">
        <f>R27*3.73%</f>
        <v>126.45748450261515</v>
      </c>
      <c r="R30" s="56">
        <f>SUM(N30:Q30)</f>
        <v>126.45748450261515</v>
      </c>
    </row>
    <row r="31" spans="1:18" s="1" customFormat="1" ht="12.95" customHeight="1" x14ac:dyDescent="0.25">
      <c r="A31" s="12"/>
      <c r="B31" s="12"/>
      <c r="C31" s="48" t="s">
        <v>29</v>
      </c>
      <c r="D31" s="68"/>
      <c r="E31" s="125"/>
      <c r="F31" s="28"/>
      <c r="G31" s="15">
        <f>SUM(G29:G30)</f>
        <v>208.87909999999999</v>
      </c>
      <c r="H31" s="58">
        <f>SUM(D31:G31)</f>
        <v>208.87909999999999</v>
      </c>
      <c r="I31" s="68"/>
      <c r="J31" s="125"/>
      <c r="K31" s="28"/>
      <c r="L31" s="15">
        <f>SUM(L29:L30)</f>
        <v>37.474049999999998</v>
      </c>
      <c r="M31" s="58">
        <f>SUM(I31:L31)</f>
        <v>37.474049999999998</v>
      </c>
      <c r="N31" s="94"/>
      <c r="O31" s="134"/>
      <c r="P31" s="95"/>
      <c r="Q31" s="16">
        <f>SUM(Q29:Q30)</f>
        <v>199.00949974004047</v>
      </c>
      <c r="R31" s="69">
        <f>SUM(N31:Q31)</f>
        <v>199.00949974004047</v>
      </c>
    </row>
    <row r="32" spans="1:18" s="1" customFormat="1" ht="12.95" customHeight="1" x14ac:dyDescent="0.25">
      <c r="A32" s="12"/>
      <c r="B32" s="12"/>
      <c r="C32" s="48" t="s">
        <v>58</v>
      </c>
      <c r="D32" s="65">
        <f>D27+D31</f>
        <v>17.658000000000001</v>
      </c>
      <c r="E32" s="139">
        <f>E27+E31</f>
        <v>495.80599999999998</v>
      </c>
      <c r="F32" s="139">
        <f>F27+F31</f>
        <v>2583.3333299999999</v>
      </c>
      <c r="G32" s="15">
        <f>G27+G31</f>
        <v>670.4991</v>
      </c>
      <c r="H32" s="69">
        <f>SUM(D32:G32)</f>
        <v>3767.2964299999999</v>
      </c>
      <c r="I32" s="65">
        <f>I27+I31</f>
        <v>1.8528856243441765</v>
      </c>
      <c r="J32" s="15">
        <f>J27+J31</f>
        <v>52.025813221406082</v>
      </c>
      <c r="K32" s="15">
        <f>K27+K31</f>
        <v>555.55555483870967</v>
      </c>
      <c r="L32" s="15">
        <f>L27+L31</f>
        <v>66.439239999999998</v>
      </c>
      <c r="M32" s="69">
        <f>SUM(I32:L32)</f>
        <v>675.87349368445996</v>
      </c>
      <c r="N32" s="57">
        <f>N27+N31</f>
        <v>16.731557187827914</v>
      </c>
      <c r="O32" s="16">
        <f>O27+O31</f>
        <v>469.79309338929693</v>
      </c>
      <c r="P32" s="16">
        <f>P27+P31</f>
        <v>2466.6666634838712</v>
      </c>
      <c r="Q32" s="16">
        <f>Q27+Q31</f>
        <v>636.09927154004049</v>
      </c>
      <c r="R32" s="69">
        <f>SUM(N32:Q32)</f>
        <v>3589.2905856010366</v>
      </c>
    </row>
    <row r="33" spans="1:18" s="1" customFormat="1" ht="12.95" customHeight="1" x14ac:dyDescent="0.25">
      <c r="A33" s="12"/>
      <c r="B33" s="34" t="s">
        <v>30</v>
      </c>
      <c r="C33" s="35"/>
      <c r="D33" s="53"/>
      <c r="E33" s="35"/>
      <c r="F33" s="35"/>
      <c r="G33" s="35"/>
      <c r="H33" s="54"/>
      <c r="I33" s="53"/>
      <c r="J33" s="35"/>
      <c r="K33" s="35"/>
      <c r="L33" s="35"/>
      <c r="M33" s="54"/>
      <c r="N33" s="86"/>
      <c r="O33" s="87"/>
      <c r="P33" s="87"/>
      <c r="Q33" s="87"/>
      <c r="R33" s="88"/>
    </row>
    <row r="34" spans="1:18" s="1" customFormat="1" x14ac:dyDescent="0.25">
      <c r="A34" s="11">
        <v>6</v>
      </c>
      <c r="B34" s="9" t="s">
        <v>95</v>
      </c>
      <c r="C34" s="39" t="s">
        <v>59</v>
      </c>
      <c r="D34" s="66"/>
      <c r="E34" s="124"/>
      <c r="F34" s="11"/>
      <c r="G34" s="14">
        <v>93.333330000000004</v>
      </c>
      <c r="H34" s="266">
        <f>SUM(D34:G34)</f>
        <v>93.333330000000004</v>
      </c>
      <c r="I34" s="66"/>
      <c r="J34" s="124"/>
      <c r="K34" s="11"/>
      <c r="L34" s="13">
        <f>ROUND(G34/4.15,5)</f>
        <v>22.48996</v>
      </c>
      <c r="M34" s="67">
        <f>SUM(I34:L34)</f>
        <v>22.48996</v>
      </c>
      <c r="N34" s="89"/>
      <c r="O34" s="132"/>
      <c r="P34" s="90"/>
      <c r="Q34" s="45">
        <f>G34</f>
        <v>93.333330000000004</v>
      </c>
      <c r="R34" s="85">
        <f>SUM(N34:Q34)</f>
        <v>93.333330000000004</v>
      </c>
    </row>
    <row r="35" spans="1:18" s="1" customFormat="1" ht="12.95" customHeight="1" x14ac:dyDescent="0.25">
      <c r="A35" s="11"/>
      <c r="B35" s="11"/>
      <c r="C35" s="39" t="s">
        <v>31</v>
      </c>
      <c r="D35" s="66"/>
      <c r="E35" s="124"/>
      <c r="F35" s="11"/>
      <c r="G35" s="14">
        <f>G34</f>
        <v>93.333330000000004</v>
      </c>
      <c r="H35" s="67">
        <f>SUM(D35:G35)</f>
        <v>93.333330000000004</v>
      </c>
      <c r="I35" s="66"/>
      <c r="J35" s="124"/>
      <c r="K35" s="11"/>
      <c r="L35" s="14">
        <f>L34</f>
        <v>22.48996</v>
      </c>
      <c r="M35" s="67">
        <f>SUM(I35:L35)</f>
        <v>22.48996</v>
      </c>
      <c r="N35" s="93"/>
      <c r="O35" s="133"/>
      <c r="P35" s="38"/>
      <c r="Q35" s="17">
        <f>Q34</f>
        <v>93.333330000000004</v>
      </c>
      <c r="R35" s="56">
        <f>SUM(N35:Q35)</f>
        <v>93.333330000000004</v>
      </c>
    </row>
    <row r="36" spans="1:18" s="1" customFormat="1" ht="12.95" customHeight="1" x14ac:dyDescent="0.25">
      <c r="A36" s="12"/>
      <c r="B36" s="12"/>
      <c r="C36" s="48" t="s">
        <v>32</v>
      </c>
      <c r="D36" s="65">
        <f>D32+D35</f>
        <v>17.658000000000001</v>
      </c>
      <c r="E36" s="139">
        <f>E32+E35</f>
        <v>495.80599999999998</v>
      </c>
      <c r="F36" s="139">
        <f>F32+F35</f>
        <v>2583.3333299999999</v>
      </c>
      <c r="G36" s="15">
        <f>G32+G35</f>
        <v>763.83243000000004</v>
      </c>
      <c r="H36" s="69">
        <f>SUM(D36:G36)</f>
        <v>3860.6297599999998</v>
      </c>
      <c r="I36" s="65">
        <f>I32+I35</f>
        <v>1.8528856243441765</v>
      </c>
      <c r="J36" s="15">
        <f>J32+J35</f>
        <v>52.025813221406082</v>
      </c>
      <c r="K36" s="15">
        <f>K32+K35</f>
        <v>555.55555483870967</v>
      </c>
      <c r="L36" s="15">
        <f>L32+L35</f>
        <v>88.929199999999994</v>
      </c>
      <c r="M36" s="69">
        <f>SUM(I36:L36)</f>
        <v>698.36345368445996</v>
      </c>
      <c r="N36" s="57">
        <f>N32+N35</f>
        <v>16.731557187827914</v>
      </c>
      <c r="O36" s="16">
        <f>O32+O35</f>
        <v>469.79309338929693</v>
      </c>
      <c r="P36" s="16">
        <f>P32+P35</f>
        <v>2466.6666634838712</v>
      </c>
      <c r="Q36" s="16">
        <f>Q32+Q35</f>
        <v>729.43260154004054</v>
      </c>
      <c r="R36" s="69">
        <f>SUM(N36:Q36)</f>
        <v>3682.6239156010365</v>
      </c>
    </row>
    <row r="37" spans="1:18" s="1" customFormat="1" ht="12.95" customHeight="1" x14ac:dyDescent="0.25">
      <c r="A37" s="12"/>
      <c r="B37" s="34" t="s">
        <v>33</v>
      </c>
      <c r="C37" s="35"/>
      <c r="D37" s="53"/>
      <c r="E37" s="47"/>
      <c r="F37" s="47"/>
      <c r="G37" s="47"/>
      <c r="H37" s="54"/>
      <c r="I37" s="53"/>
      <c r="J37" s="35"/>
      <c r="K37" s="35"/>
      <c r="L37" s="35"/>
      <c r="M37" s="54"/>
      <c r="N37" s="86"/>
      <c r="O37" s="87"/>
      <c r="P37" s="87"/>
      <c r="Q37" s="87"/>
      <c r="R37" s="88"/>
    </row>
    <row r="38" spans="1:18" s="1" customFormat="1" ht="38.25" x14ac:dyDescent="0.25">
      <c r="A38" s="11">
        <v>7</v>
      </c>
      <c r="B38" s="9" t="s">
        <v>34</v>
      </c>
      <c r="C38" s="49" t="s">
        <v>60</v>
      </c>
      <c r="D38" s="140">
        <f>D36*3%</f>
        <v>0.52973999999999999</v>
      </c>
      <c r="E38" s="143">
        <f>E36*3%</f>
        <v>14.874179999999999</v>
      </c>
      <c r="F38" s="143">
        <f>F36*3%</f>
        <v>77.499999899999992</v>
      </c>
      <c r="G38" s="143">
        <f>G36*3%</f>
        <v>22.914972900000002</v>
      </c>
      <c r="H38" s="141">
        <f>SUM(D38:G38)</f>
        <v>115.81889279999999</v>
      </c>
      <c r="I38" s="70">
        <f>I36*3%</f>
        <v>5.5586568730325289E-2</v>
      </c>
      <c r="J38" s="18">
        <f>J36*3%</f>
        <v>1.5607743966421823</v>
      </c>
      <c r="K38" s="18">
        <f>K36*3%</f>
        <v>16.666666645161289</v>
      </c>
      <c r="L38" s="18">
        <f>L36*3%</f>
        <v>2.6678759999999997</v>
      </c>
      <c r="M38" s="71">
        <f>SUM(I38:L38)</f>
        <v>20.950903610533796</v>
      </c>
      <c r="N38" s="96">
        <f>N36*3%</f>
        <v>0.50194671563483739</v>
      </c>
      <c r="O38" s="97">
        <f>O36*3%</f>
        <v>14.093792801678907</v>
      </c>
      <c r="P38" s="97">
        <f>P36*3%</f>
        <v>73.99999990451613</v>
      </c>
      <c r="Q38" s="97">
        <f>(Q36-Q34)*3%</f>
        <v>19.082978146201214</v>
      </c>
      <c r="R38" s="98">
        <f>SUM(N38:Q38)</f>
        <v>107.67871756803109</v>
      </c>
    </row>
    <row r="39" spans="1:18" s="1" customFormat="1" ht="12.95" customHeight="1" x14ac:dyDescent="0.25">
      <c r="A39" s="12"/>
      <c r="B39" s="28" t="s">
        <v>61</v>
      </c>
      <c r="C39" s="48"/>
      <c r="D39" s="72">
        <f>D36+D38</f>
        <v>18.187740000000002</v>
      </c>
      <c r="E39" s="142">
        <f>E36+E38</f>
        <v>510.68018000000001</v>
      </c>
      <c r="F39" s="142">
        <f>F36+F38</f>
        <v>2660.8333299000001</v>
      </c>
      <c r="G39" s="142">
        <f>G36+G38</f>
        <v>786.7474029</v>
      </c>
      <c r="H39" s="73">
        <f>SUM(D39:G39)</f>
        <v>3976.4486528000002</v>
      </c>
      <c r="I39" s="72">
        <f>I36+I38</f>
        <v>1.9084721930745017</v>
      </c>
      <c r="J39" s="19">
        <f>J36+J38</f>
        <v>53.586587618048263</v>
      </c>
      <c r="K39" s="19">
        <f>K36+K38</f>
        <v>572.22222148387095</v>
      </c>
      <c r="L39" s="19">
        <f>L36+L38</f>
        <v>91.597075999999987</v>
      </c>
      <c r="M39" s="73">
        <f>SUM(I39:L39)</f>
        <v>719.31435729499378</v>
      </c>
      <c r="N39" s="99">
        <f>N36+N38</f>
        <v>17.233503903462751</v>
      </c>
      <c r="O39" s="20">
        <f>O36+O38</f>
        <v>483.88688619097582</v>
      </c>
      <c r="P39" s="20">
        <f>P36+P38</f>
        <v>2540.6666633883874</v>
      </c>
      <c r="Q39" s="20">
        <f>Q36+Q38</f>
        <v>748.51557968624172</v>
      </c>
      <c r="R39" s="73">
        <f>SUM(N39:Q39)</f>
        <v>3790.302633169068</v>
      </c>
    </row>
    <row r="40" spans="1:18" s="1" customFormat="1" ht="30.75" customHeight="1" x14ac:dyDescent="0.25">
      <c r="A40" s="28"/>
      <c r="B40" s="285" t="s">
        <v>63</v>
      </c>
      <c r="C40" s="286"/>
      <c r="D40" s="72"/>
      <c r="E40" s="126"/>
      <c r="F40" s="19"/>
      <c r="G40" s="19"/>
      <c r="H40" s="73"/>
      <c r="I40" s="72"/>
      <c r="J40" s="126"/>
      <c r="K40" s="19"/>
      <c r="L40" s="19"/>
      <c r="M40" s="73"/>
      <c r="N40" s="100"/>
      <c r="O40" s="155"/>
      <c r="P40" s="156"/>
      <c r="Q40" s="156"/>
      <c r="R40" s="101"/>
    </row>
    <row r="41" spans="1:18" s="271" customFormat="1" ht="12.95" customHeight="1" x14ac:dyDescent="0.25">
      <c r="A41" s="28"/>
      <c r="B41" s="267" t="s">
        <v>64</v>
      </c>
      <c r="C41" s="272" t="s">
        <v>98</v>
      </c>
      <c r="D41" s="72"/>
      <c r="E41" s="126"/>
      <c r="F41" s="19"/>
      <c r="G41" s="19"/>
      <c r="H41" s="73"/>
      <c r="I41" s="72"/>
      <c r="J41" s="126"/>
      <c r="K41" s="19"/>
      <c r="L41" s="19"/>
      <c r="M41" s="73"/>
      <c r="N41" s="268">
        <f>N39*1.053*1.051*1.04</f>
        <v>19.835265289292892</v>
      </c>
      <c r="O41" s="269">
        <f>O39*1.053*1.051*1.04</f>
        <v>556.93983135253995</v>
      </c>
      <c r="P41" s="269">
        <f>P39*1.053*1.051*1.04</f>
        <v>2924.2339551067948</v>
      </c>
      <c r="Q41" s="269">
        <f>(Q39-Q34)*1.053*1.051*1.04+Q34</f>
        <v>847.42917772549322</v>
      </c>
      <c r="R41" s="270">
        <f>SUM(N41:Q41)</f>
        <v>4348.4382294741208</v>
      </c>
    </row>
    <row r="42" spans="1:18" s="1" customFormat="1" ht="12.95" customHeight="1" x14ac:dyDescent="0.25">
      <c r="A42" s="12"/>
      <c r="B42" s="12" t="s">
        <v>35</v>
      </c>
      <c r="C42" s="48"/>
      <c r="D42" s="68"/>
      <c r="E42" s="125"/>
      <c r="F42" s="28"/>
      <c r="G42" s="28"/>
      <c r="H42" s="74"/>
      <c r="I42" s="68"/>
      <c r="J42" s="125"/>
      <c r="K42" s="28"/>
      <c r="L42" s="28"/>
      <c r="M42" s="74"/>
      <c r="N42" s="68"/>
      <c r="O42" s="159"/>
      <c r="P42" s="160"/>
      <c r="Q42" s="157"/>
      <c r="R42" s="74"/>
    </row>
    <row r="43" spans="1:18" s="1" customFormat="1" ht="12.95" customHeight="1" x14ac:dyDescent="0.25">
      <c r="A43" s="11"/>
      <c r="B43" s="11" t="s">
        <v>12</v>
      </c>
      <c r="C43" s="39"/>
      <c r="D43" s="75">
        <f>D39*20%</f>
        <v>3.6375480000000007</v>
      </c>
      <c r="E43" s="21">
        <f>E39*20%</f>
        <v>102.136036</v>
      </c>
      <c r="F43" s="21">
        <f>F39*20%</f>
        <v>532.16666598000006</v>
      </c>
      <c r="G43" s="21">
        <f>G39*20%</f>
        <v>157.34948058000001</v>
      </c>
      <c r="H43" s="76">
        <f>SUM(D43:G43)</f>
        <v>795.28973056000007</v>
      </c>
      <c r="I43" s="75"/>
      <c r="J43" s="21"/>
      <c r="K43" s="21"/>
      <c r="L43" s="21"/>
      <c r="M43" s="76"/>
      <c r="N43" s="158">
        <f>N41*20%</f>
        <v>3.9670530578585783</v>
      </c>
      <c r="O43" s="162">
        <f>O41*20%</f>
        <v>111.387966270508</v>
      </c>
      <c r="P43" s="162">
        <f>P41*20%</f>
        <v>584.84679102135897</v>
      </c>
      <c r="Q43" s="162">
        <f>Q41*20%</f>
        <v>169.48583554509867</v>
      </c>
      <c r="R43" s="76">
        <f>SUM(N43:Q43)</f>
        <v>869.68764589482419</v>
      </c>
    </row>
    <row r="44" spans="1:18" s="1" customFormat="1" ht="12.95" customHeight="1" thickBot="1" x14ac:dyDescent="0.3">
      <c r="A44" s="12"/>
      <c r="B44" s="12" t="s">
        <v>15</v>
      </c>
      <c r="C44" s="48"/>
      <c r="D44" s="77">
        <f>D39+D43</f>
        <v>21.825288</v>
      </c>
      <c r="E44" s="78">
        <f>E39+E43</f>
        <v>612.81621600000005</v>
      </c>
      <c r="F44" s="78">
        <f>F39+F43</f>
        <v>3192.9999958799999</v>
      </c>
      <c r="G44" s="78">
        <f>G39+G43</f>
        <v>944.09688347999997</v>
      </c>
      <c r="H44" s="79">
        <f>SUM(D44:G44)</f>
        <v>4771.7383833599997</v>
      </c>
      <c r="I44" s="77">
        <f>I39+I43</f>
        <v>1.9084721930745017</v>
      </c>
      <c r="J44" s="78">
        <f>J39+J43</f>
        <v>53.586587618048263</v>
      </c>
      <c r="K44" s="78">
        <f>K39+K43</f>
        <v>572.22222148387095</v>
      </c>
      <c r="L44" s="78">
        <f>L39+L43</f>
        <v>91.597075999999987</v>
      </c>
      <c r="M44" s="79">
        <f>SUM(I44:L44)</f>
        <v>719.31435729499378</v>
      </c>
      <c r="N44" s="77">
        <f>N41+N43</f>
        <v>23.80231834715147</v>
      </c>
      <c r="O44" s="161">
        <f>O41+O43</f>
        <v>668.3277976230479</v>
      </c>
      <c r="P44" s="161">
        <f>P41+P43</f>
        <v>3509.0807461281538</v>
      </c>
      <c r="Q44" s="78">
        <f>Q41+Q43</f>
        <v>1016.9150132705919</v>
      </c>
      <c r="R44" s="79">
        <f>SUM(N44:Q44)</f>
        <v>5218.1258753689444</v>
      </c>
    </row>
    <row r="45" spans="1:18" s="1" customFormat="1" ht="12.95" customHeight="1" x14ac:dyDescent="0.25">
      <c r="A45" s="7"/>
      <c r="B45" s="7"/>
      <c r="C45" s="7"/>
      <c r="D45" s="27"/>
      <c r="E45" s="117"/>
      <c r="F45" s="27"/>
      <c r="G45" s="27"/>
      <c r="H45" s="27"/>
      <c r="I45" s="27"/>
      <c r="J45" s="117"/>
      <c r="K45" s="27"/>
      <c r="L45" s="27"/>
      <c r="M45" s="27"/>
    </row>
    <row r="46" spans="1:18" s="1" customFormat="1" ht="12.95" customHeight="1" x14ac:dyDescent="0.25">
      <c r="H46" s="109"/>
    </row>
    <row r="47" spans="1:18" ht="15" customHeight="1" x14ac:dyDescent="0.25">
      <c r="B47" s="3" t="s">
        <v>7</v>
      </c>
      <c r="C47" s="114" t="s">
        <v>82</v>
      </c>
      <c r="G47" s="115" t="s">
        <v>9</v>
      </c>
      <c r="H47" s="109"/>
    </row>
    <row r="48" spans="1:18" ht="15" customHeight="1" x14ac:dyDescent="0.25">
      <c r="H48" s="109"/>
    </row>
    <row r="49" spans="2:7" ht="15" customHeight="1" x14ac:dyDescent="0.25">
      <c r="B49" s="3" t="s">
        <v>5</v>
      </c>
    </row>
    <row r="50" spans="2:7" ht="15" customHeight="1" x14ac:dyDescent="0.25">
      <c r="B50" s="4" t="s">
        <v>8</v>
      </c>
      <c r="C50" s="284" t="s">
        <v>84</v>
      </c>
      <c r="D50" s="284"/>
      <c r="E50" s="118"/>
      <c r="G50" s="4" t="s">
        <v>85</v>
      </c>
    </row>
  </sheetData>
  <mergeCells count="20">
    <mergeCell ref="C50:D50"/>
    <mergeCell ref="B40:C40"/>
    <mergeCell ref="C2:K2"/>
    <mergeCell ref="C3:K3"/>
    <mergeCell ref="B9:M9"/>
    <mergeCell ref="B12:M12"/>
    <mergeCell ref="B14:M14"/>
    <mergeCell ref="C13:M13"/>
    <mergeCell ref="L6:M6"/>
    <mergeCell ref="A16:A17"/>
    <mergeCell ref="B16:B17"/>
    <mergeCell ref="C16:C17"/>
    <mergeCell ref="I16:L16"/>
    <mergeCell ref="M16:M17"/>
    <mergeCell ref="D16:G16"/>
    <mergeCell ref="H16:H17"/>
    <mergeCell ref="P5:R5"/>
    <mergeCell ref="I4:M4"/>
    <mergeCell ref="N16:Q16"/>
    <mergeCell ref="R16:R17"/>
  </mergeCells>
  <pageMargins left="0.7" right="0.7" top="0.75" bottom="0.75" header="0.3" footer="0.3"/>
  <pageSetup paperSize="9" scale="3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I14" sqref="I14:I16"/>
    </sheetView>
  </sheetViews>
  <sheetFormatPr defaultColWidth="9" defaultRowHeight="15" x14ac:dyDescent="0.25"/>
  <cols>
    <col min="1" max="1" width="9" style="1" customWidth="1"/>
    <col min="2" max="2" width="13" style="1" customWidth="1"/>
    <col min="3" max="3" width="19.85546875" style="1" customWidth="1"/>
    <col min="4" max="4" width="11.7109375" style="1" customWidth="1"/>
    <col min="5" max="5" width="17.140625" style="1" customWidth="1"/>
    <col min="6" max="6" width="13.7109375" style="1" customWidth="1"/>
    <col min="7" max="7" width="13.140625" style="1" customWidth="1"/>
    <col min="8" max="8" width="13" style="1" customWidth="1"/>
    <col min="9" max="9" width="17.7109375" style="1" customWidth="1"/>
    <col min="10" max="10" width="17.28515625" style="1" customWidth="1"/>
    <col min="11" max="11" width="1.5703125" style="1" customWidth="1"/>
  </cols>
  <sheetData>
    <row r="1" spans="1:11" x14ac:dyDescent="0.25">
      <c r="I1" s="298" t="s">
        <v>10</v>
      </c>
      <c r="J1" s="298"/>
    </row>
    <row r="2" spans="1:11" ht="44.25" x14ac:dyDescent="0.55000000000000004">
      <c r="H2" s="299" t="s">
        <v>11</v>
      </c>
      <c r="I2" s="299"/>
      <c r="J2" s="299"/>
      <c r="K2" s="2" t="s">
        <v>1</v>
      </c>
    </row>
    <row r="4" spans="1:11" x14ac:dyDescent="0.25">
      <c r="I4" s="300" t="s">
        <v>36</v>
      </c>
      <c r="J4" s="300"/>
    </row>
    <row r="6" spans="1:11" x14ac:dyDescent="0.25">
      <c r="A6" s="301" t="s">
        <v>38</v>
      </c>
      <c r="B6" s="301"/>
      <c r="C6" s="301"/>
      <c r="D6" s="301"/>
      <c r="E6" s="301"/>
      <c r="F6" s="301"/>
      <c r="G6" s="301"/>
      <c r="H6" s="301"/>
      <c r="I6" s="301"/>
      <c r="J6" s="301"/>
    </row>
    <row r="7" spans="1:11" ht="44.25" x14ac:dyDescent="0.55000000000000004">
      <c r="A7" s="297" t="s">
        <v>66</v>
      </c>
      <c r="B7" s="297"/>
      <c r="C7" s="297"/>
      <c r="D7" s="297"/>
      <c r="E7" s="297"/>
      <c r="F7" s="297"/>
      <c r="G7" s="297"/>
      <c r="H7" s="297"/>
      <c r="I7" s="297"/>
      <c r="J7" s="297"/>
      <c r="K7" s="2" t="s">
        <v>1</v>
      </c>
    </row>
    <row r="8" spans="1:11" ht="44.25" x14ac:dyDescent="0.55000000000000004">
      <c r="A8" s="291" t="s">
        <v>47</v>
      </c>
      <c r="B8" s="291"/>
      <c r="C8" s="291"/>
      <c r="D8" s="291"/>
      <c r="E8" s="291"/>
      <c r="F8" s="291"/>
      <c r="G8" s="291"/>
      <c r="H8" s="291"/>
      <c r="I8" s="291"/>
      <c r="J8" s="291"/>
      <c r="K8" s="2" t="s">
        <v>1</v>
      </c>
    </row>
    <row r="9" spans="1:11" x14ac:dyDescent="0.25">
      <c r="A9" s="24" t="s">
        <v>2</v>
      </c>
      <c r="B9" s="22"/>
      <c r="C9" s="22"/>
      <c r="D9" s="22"/>
      <c r="E9" s="22"/>
      <c r="F9" s="22"/>
      <c r="G9" s="22"/>
      <c r="H9" s="22"/>
      <c r="I9" s="22"/>
      <c r="J9" s="22"/>
    </row>
    <row r="10" spans="1:11" x14ac:dyDescent="0.25">
      <c r="A10" s="314" t="s">
        <v>6</v>
      </c>
      <c r="B10" s="314" t="s">
        <v>0</v>
      </c>
      <c r="C10" s="314"/>
      <c r="D10" s="314"/>
      <c r="E10" s="295" t="s">
        <v>16</v>
      </c>
      <c r="F10" s="295" t="s">
        <v>39</v>
      </c>
      <c r="G10" s="295" t="s">
        <v>17</v>
      </c>
      <c r="H10" s="295" t="s">
        <v>18</v>
      </c>
      <c r="I10" s="295" t="s">
        <v>44</v>
      </c>
      <c r="J10" s="292" t="s">
        <v>40</v>
      </c>
    </row>
    <row r="11" spans="1:11" x14ac:dyDescent="0.25">
      <c r="A11" s="315"/>
      <c r="B11" s="315"/>
      <c r="C11" s="316"/>
      <c r="D11" s="316"/>
      <c r="E11" s="296"/>
      <c r="F11" s="296"/>
      <c r="G11" s="296"/>
      <c r="H11" s="296"/>
      <c r="I11" s="296"/>
      <c r="J11" s="293"/>
    </row>
    <row r="12" spans="1:11" x14ac:dyDescent="0.25">
      <c r="A12" s="315"/>
      <c r="B12" s="315"/>
      <c r="C12" s="316"/>
      <c r="D12" s="316"/>
      <c r="E12" s="296"/>
      <c r="F12" s="296"/>
      <c r="G12" s="296"/>
      <c r="H12" s="296"/>
      <c r="I12" s="296"/>
      <c r="J12" s="293"/>
    </row>
    <row r="13" spans="1:11" x14ac:dyDescent="0.25">
      <c r="A13" s="315"/>
      <c r="B13" s="315"/>
      <c r="C13" s="316"/>
      <c r="D13" s="316"/>
      <c r="E13" s="296"/>
      <c r="F13" s="296"/>
      <c r="G13" s="296"/>
      <c r="H13" s="296"/>
      <c r="I13" s="296"/>
      <c r="J13" s="294"/>
    </row>
    <row r="14" spans="1:11" s="1" customFormat="1" ht="15" customHeight="1" x14ac:dyDescent="0.25">
      <c r="A14" s="303">
        <v>1</v>
      </c>
      <c r="B14" s="280" t="s">
        <v>41</v>
      </c>
      <c r="C14" s="307"/>
      <c r="D14" s="308"/>
      <c r="E14" s="305">
        <f>'Сводка затрат'!I21*1.015</f>
        <v>1.880678908709339</v>
      </c>
      <c r="F14" s="305">
        <f>'Сводка затрат'!K21*1.015</f>
        <v>563.88888816129031</v>
      </c>
      <c r="G14" s="305">
        <f>'Сводка затрат'!L24*1.015</f>
        <v>24.826199649999996</v>
      </c>
      <c r="H14" s="305">
        <f>'Сводка затрат'!M25*1.015</f>
        <v>4.5734681999999998</v>
      </c>
      <c r="I14" s="305">
        <f>'Сводка затрат'!L34*1.015</f>
        <v>22.827309399999997</v>
      </c>
      <c r="J14" s="317">
        <f>SUM(E14:I16)</f>
        <v>645.92054431999964</v>
      </c>
    </row>
    <row r="15" spans="1:11" s="1" customFormat="1" x14ac:dyDescent="0.25">
      <c r="A15" s="304"/>
      <c r="B15" s="281"/>
      <c r="C15" s="309"/>
      <c r="D15" s="310"/>
      <c r="E15" s="306"/>
      <c r="F15" s="306"/>
      <c r="G15" s="306"/>
      <c r="H15" s="306"/>
      <c r="I15" s="306"/>
      <c r="J15" s="318"/>
    </row>
    <row r="16" spans="1:11" s="1" customFormat="1" x14ac:dyDescent="0.25">
      <c r="A16" s="304"/>
      <c r="B16" s="311"/>
      <c r="C16" s="312"/>
      <c r="D16" s="313"/>
      <c r="E16" s="306">
        <v>27.923999999999999</v>
      </c>
      <c r="F16" s="306"/>
      <c r="G16" s="306"/>
      <c r="H16" s="306"/>
      <c r="I16" s="306"/>
      <c r="J16" s="319"/>
    </row>
    <row r="17" spans="1:11" ht="51" customHeight="1" x14ac:dyDescent="0.25">
      <c r="A17" s="29">
        <v>2</v>
      </c>
      <c r="B17" s="320" t="s">
        <v>43</v>
      </c>
      <c r="C17" s="321"/>
      <c r="D17" s="322"/>
      <c r="E17" s="30">
        <v>7.56</v>
      </c>
      <c r="F17" s="31">
        <v>4.4400000000000004</v>
      </c>
      <c r="G17" s="31">
        <v>15.23</v>
      </c>
      <c r="H17" s="31">
        <v>8.74</v>
      </c>
      <c r="I17" s="31">
        <v>3.99</v>
      </c>
      <c r="J17" s="32"/>
    </row>
    <row r="18" spans="1:11" ht="44.25" x14ac:dyDescent="0.55000000000000004">
      <c r="A18" s="23">
        <v>3</v>
      </c>
      <c r="B18" s="280" t="s">
        <v>45</v>
      </c>
      <c r="C18" s="280"/>
      <c r="D18" s="280"/>
      <c r="E18" s="30">
        <f>E14*E17</f>
        <v>14.217932549842601</v>
      </c>
      <c r="F18" s="30">
        <f>F14*F17</f>
        <v>2503.6666634361291</v>
      </c>
      <c r="G18" s="30">
        <f>G14*G17</f>
        <v>378.10302066949993</v>
      </c>
      <c r="H18" s="30">
        <f>H14*H17</f>
        <v>39.972112068000001</v>
      </c>
      <c r="I18" s="30">
        <f>I14*I17</f>
        <v>91.080964505999987</v>
      </c>
      <c r="J18" s="33">
        <f>SUM(E18:I18)</f>
        <v>3027.0406932294718</v>
      </c>
      <c r="K18" s="2" t="s">
        <v>1</v>
      </c>
    </row>
    <row r="19" spans="1:11" s="1" customFormat="1" ht="44.25" x14ac:dyDescent="0.55000000000000004">
      <c r="A19" s="23">
        <v>4</v>
      </c>
      <c r="B19" s="280" t="s">
        <v>63</v>
      </c>
      <c r="C19" s="280"/>
      <c r="D19" s="280"/>
      <c r="E19" s="30">
        <f>1.049*1.05*1.044</f>
        <v>1.1499138</v>
      </c>
      <c r="F19" s="30">
        <f>1.049*1.05*1.044</f>
        <v>1.1499138</v>
      </c>
      <c r="G19" s="30">
        <f>1.049*1.05*1.044</f>
        <v>1.1499138</v>
      </c>
      <c r="H19" s="30">
        <f>1.049*1.05*1.044</f>
        <v>1.1499138</v>
      </c>
      <c r="I19" s="30">
        <f>1.049*1.05</f>
        <v>1.10145</v>
      </c>
      <c r="J19" s="33"/>
      <c r="K19" s="2" t="s">
        <v>1</v>
      </c>
    </row>
    <row r="20" spans="1:11" s="1" customFormat="1" ht="44.25" x14ac:dyDescent="0.55000000000000004">
      <c r="A20" s="23">
        <v>5</v>
      </c>
      <c r="B20" s="280" t="s">
        <v>46</v>
      </c>
      <c r="C20" s="280"/>
      <c r="D20" s="280"/>
      <c r="E20" s="30">
        <f>E18*E19</f>
        <v>16.349396846533196</v>
      </c>
      <c r="F20" s="30">
        <f>F18*F19</f>
        <v>2879.0008468851602</v>
      </c>
      <c r="G20" s="30">
        <f>G18*G19</f>
        <v>434.78588128954323</v>
      </c>
      <c r="H20" s="30">
        <f>H18*H19</f>
        <v>45.964483282139739</v>
      </c>
      <c r="I20" s="30">
        <f>I18*I19</f>
        <v>100.32112835513369</v>
      </c>
      <c r="J20" s="33">
        <f>SUM(E20:I20)</f>
        <v>3476.4217366585099</v>
      </c>
      <c r="K20" s="2" t="s">
        <v>1</v>
      </c>
    </row>
    <row r="21" spans="1:11" x14ac:dyDescent="0.25">
      <c r="A21" s="25"/>
      <c r="B21" s="302" t="s">
        <v>42</v>
      </c>
      <c r="C21" s="302"/>
      <c r="D21" s="302"/>
      <c r="E21" s="30">
        <f>E20*1.2</f>
        <v>19.619276215839836</v>
      </c>
      <c r="F21" s="30">
        <f>F20*1.2</f>
        <v>3454.8010162621922</v>
      </c>
      <c r="G21" s="30">
        <f>G20*1.2</f>
        <v>521.74305754745183</v>
      </c>
      <c r="H21" s="30">
        <f>H20*1.2</f>
        <v>55.157379938567686</v>
      </c>
      <c r="I21" s="30">
        <f>I20*1.2</f>
        <v>120.38535402616043</v>
      </c>
      <c r="J21" s="33">
        <f>SUM(E21:I21)</f>
        <v>4171.7060839902124</v>
      </c>
    </row>
    <row r="22" spans="1:1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</row>
    <row r="23" spans="1:11" x14ac:dyDescent="0.25">
      <c r="C23" s="4" t="s">
        <v>7</v>
      </c>
      <c r="D23" s="5"/>
      <c r="F23" s="5" t="s">
        <v>9</v>
      </c>
    </row>
    <row r="26" spans="1:11" x14ac:dyDescent="0.25">
      <c r="C26" s="4" t="s">
        <v>8</v>
      </c>
      <c r="D26" s="5"/>
    </row>
    <row r="28" spans="1:11" x14ac:dyDescent="0.25">
      <c r="C28" s="6" t="s">
        <v>37</v>
      </c>
      <c r="D28" s="8"/>
      <c r="F28" s="8"/>
    </row>
  </sheetData>
  <mergeCells count="27">
    <mergeCell ref="B21:D21"/>
    <mergeCell ref="A14:A16"/>
    <mergeCell ref="F14:F16"/>
    <mergeCell ref="G14:G16"/>
    <mergeCell ref="E14:E16"/>
    <mergeCell ref="B14:D16"/>
    <mergeCell ref="B19:D19"/>
    <mergeCell ref="B17:D17"/>
    <mergeCell ref="B18:D18"/>
    <mergeCell ref="I1:J1"/>
    <mergeCell ref="H2:J2"/>
    <mergeCell ref="I4:J4"/>
    <mergeCell ref="A6:J6"/>
    <mergeCell ref="B20:D20"/>
    <mergeCell ref="H14:H16"/>
    <mergeCell ref="I10:I13"/>
    <mergeCell ref="B10:D13"/>
    <mergeCell ref="E10:E13"/>
    <mergeCell ref="H10:H13"/>
    <mergeCell ref="J14:J16"/>
    <mergeCell ref="A10:A13"/>
    <mergeCell ref="I14:I16"/>
    <mergeCell ref="A8:J8"/>
    <mergeCell ref="J10:J13"/>
    <mergeCell ref="F10:F13"/>
    <mergeCell ref="G10:G13"/>
    <mergeCell ref="A7:J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4" workbookViewId="0">
      <selection activeCell="I14" sqref="I14:I16"/>
    </sheetView>
  </sheetViews>
  <sheetFormatPr defaultColWidth="9" defaultRowHeight="15" x14ac:dyDescent="0.25"/>
  <cols>
    <col min="1" max="1" width="11.5703125" style="1" customWidth="1"/>
    <col min="2" max="2" width="22.42578125" style="1" customWidth="1"/>
    <col min="3" max="3" width="19.85546875" style="1" customWidth="1"/>
    <col min="4" max="4" width="17.140625" style="1" customWidth="1"/>
    <col min="5" max="5" width="27.7109375" style="1" customWidth="1"/>
    <col min="6" max="6" width="23.7109375" style="1" customWidth="1"/>
    <col min="7" max="7" width="1.5703125" style="1" customWidth="1"/>
  </cols>
  <sheetData>
    <row r="1" spans="1:7" x14ac:dyDescent="0.25">
      <c r="F1" s="112" t="s">
        <v>10</v>
      </c>
    </row>
    <row r="2" spans="1:7" ht="60.75" customHeight="1" x14ac:dyDescent="0.55000000000000004">
      <c r="E2" s="274" t="s">
        <v>80</v>
      </c>
      <c r="F2" s="273"/>
      <c r="G2" s="2" t="s">
        <v>1</v>
      </c>
    </row>
    <row r="3" spans="1:7" ht="64.5" customHeight="1" x14ac:dyDescent="0.25">
      <c r="F3" s="110" t="s">
        <v>81</v>
      </c>
      <c r="G3" s="111"/>
    </row>
    <row r="6" spans="1:7" x14ac:dyDescent="0.25">
      <c r="A6" s="301" t="s">
        <v>67</v>
      </c>
      <c r="B6" s="301"/>
      <c r="C6" s="301"/>
      <c r="D6" s="301"/>
      <c r="E6" s="301"/>
      <c r="F6" s="301"/>
    </row>
    <row r="7" spans="1:7" ht="44.25" x14ac:dyDescent="0.55000000000000004">
      <c r="A7" s="297" t="s">
        <v>86</v>
      </c>
      <c r="B7" s="297"/>
      <c r="C7" s="297"/>
      <c r="D7" s="297"/>
      <c r="E7" s="297"/>
      <c r="F7" s="297"/>
      <c r="G7" s="2" t="s">
        <v>1</v>
      </c>
    </row>
    <row r="8" spans="1:7" ht="44.25" x14ac:dyDescent="0.55000000000000004">
      <c r="A8" s="291" t="s">
        <v>47</v>
      </c>
      <c r="B8" s="291"/>
      <c r="C8" s="291"/>
      <c r="D8" s="291"/>
      <c r="E8" s="291"/>
      <c r="F8" s="291"/>
      <c r="G8" s="2" t="s">
        <v>1</v>
      </c>
    </row>
    <row r="9" spans="1:7" ht="15.75" customHeight="1" x14ac:dyDescent="0.25">
      <c r="A9" s="24"/>
      <c r="B9" s="22"/>
      <c r="C9" s="22"/>
      <c r="D9" s="22"/>
      <c r="E9" s="22"/>
      <c r="F9" s="22"/>
    </row>
    <row r="10" spans="1:7" ht="15" customHeight="1" x14ac:dyDescent="0.25">
      <c r="A10" s="292" t="s">
        <v>78</v>
      </c>
      <c r="B10" s="314" t="s">
        <v>79</v>
      </c>
      <c r="C10" s="323"/>
      <c r="D10" s="324"/>
      <c r="E10" s="292" t="s">
        <v>69</v>
      </c>
      <c r="F10" s="292" t="s">
        <v>70</v>
      </c>
    </row>
    <row r="11" spans="1:7" ht="15" customHeight="1" x14ac:dyDescent="0.25">
      <c r="A11" s="293"/>
      <c r="B11" s="315"/>
      <c r="C11" s="325"/>
      <c r="D11" s="326"/>
      <c r="E11" s="293"/>
      <c r="F11" s="293"/>
    </row>
    <row r="12" spans="1:7" ht="15" customHeight="1" x14ac:dyDescent="0.25">
      <c r="A12" s="293"/>
      <c r="B12" s="315"/>
      <c r="C12" s="325"/>
      <c r="D12" s="326"/>
      <c r="E12" s="293"/>
      <c r="F12" s="293"/>
    </row>
    <row r="13" spans="1:7" ht="15" customHeight="1" x14ac:dyDescent="0.25">
      <c r="A13" s="294"/>
      <c r="B13" s="327"/>
      <c r="C13" s="328"/>
      <c r="D13" s="329"/>
      <c r="E13" s="294"/>
      <c r="F13" s="294"/>
    </row>
    <row r="14" spans="1:7" s="1" customFormat="1" ht="57.75" customHeight="1" x14ac:dyDescent="0.25">
      <c r="A14" s="108">
        <v>1</v>
      </c>
      <c r="B14" s="320" t="s">
        <v>68</v>
      </c>
      <c r="C14" s="321"/>
      <c r="D14" s="322"/>
      <c r="E14" s="107" t="s">
        <v>49</v>
      </c>
      <c r="F14" s="104">
        <f>'Сводка затрат'!L34*1.015</f>
        <v>22.827309399999997</v>
      </c>
    </row>
    <row r="15" spans="1:7" ht="15" customHeight="1" x14ac:dyDescent="0.25">
      <c r="A15" s="102">
        <v>2</v>
      </c>
      <c r="B15" s="320" t="s">
        <v>71</v>
      </c>
      <c r="C15" s="321"/>
      <c r="D15" s="322"/>
      <c r="E15" s="30"/>
      <c r="F15" s="104">
        <f>F14</f>
        <v>22.827309399999997</v>
      </c>
    </row>
    <row r="16" spans="1:7" ht="44.25" customHeight="1" x14ac:dyDescent="0.55000000000000004">
      <c r="A16" s="103">
        <v>3</v>
      </c>
      <c r="B16" s="320" t="s">
        <v>72</v>
      </c>
      <c r="C16" s="321"/>
      <c r="D16" s="322"/>
      <c r="E16" s="30">
        <v>3.83</v>
      </c>
      <c r="F16" s="105"/>
      <c r="G16" s="2" t="s">
        <v>1</v>
      </c>
    </row>
    <row r="17" spans="1:7" ht="25.5" customHeight="1" x14ac:dyDescent="0.55000000000000004">
      <c r="A17" s="103">
        <v>4</v>
      </c>
      <c r="B17" s="320" t="s">
        <v>73</v>
      </c>
      <c r="C17" s="321"/>
      <c r="D17" s="322"/>
      <c r="E17" s="30"/>
      <c r="F17" s="105">
        <f>F15*E16</f>
        <v>87.428595001999994</v>
      </c>
      <c r="G17" s="2"/>
    </row>
    <row r="18" spans="1:7" s="1" customFormat="1" ht="25.5" customHeight="1" x14ac:dyDescent="0.55000000000000004">
      <c r="A18" s="103">
        <v>5</v>
      </c>
      <c r="B18" s="320" t="s">
        <v>74</v>
      </c>
      <c r="C18" s="321"/>
      <c r="D18" s="322"/>
      <c r="E18" s="30">
        <v>1</v>
      </c>
      <c r="F18" s="105"/>
      <c r="G18" s="2" t="s">
        <v>1</v>
      </c>
    </row>
    <row r="19" spans="1:7" s="1" customFormat="1" ht="21" customHeight="1" x14ac:dyDescent="0.55000000000000004">
      <c r="A19" s="103">
        <v>6</v>
      </c>
      <c r="B19" s="320" t="s">
        <v>75</v>
      </c>
      <c r="C19" s="321"/>
      <c r="D19" s="322"/>
      <c r="E19" s="30"/>
      <c r="F19" s="105">
        <f>F17*E18</f>
        <v>87.428595001999994</v>
      </c>
      <c r="G19" s="2" t="s">
        <v>1</v>
      </c>
    </row>
    <row r="20" spans="1:7" s="1" customFormat="1" ht="23.25" customHeight="1" x14ac:dyDescent="0.55000000000000004">
      <c r="A20" s="106">
        <v>7</v>
      </c>
      <c r="B20" s="330" t="s">
        <v>76</v>
      </c>
      <c r="C20" s="331"/>
      <c r="D20" s="332"/>
      <c r="E20" s="30"/>
      <c r="F20" s="105">
        <f>F19*20%</f>
        <v>17.4857190004</v>
      </c>
      <c r="G20" s="2"/>
    </row>
    <row r="21" spans="1:7" ht="15" customHeight="1" x14ac:dyDescent="0.25">
      <c r="A21" s="103">
        <v>8</v>
      </c>
      <c r="B21" s="320" t="s">
        <v>77</v>
      </c>
      <c r="C21" s="321"/>
      <c r="D21" s="322"/>
      <c r="E21" s="30"/>
      <c r="F21" s="113">
        <f>F19+F20</f>
        <v>104.91431400239999</v>
      </c>
    </row>
    <row r="22" spans="1:7" ht="15" customHeight="1" x14ac:dyDescent="0.25">
      <c r="A22" s="7"/>
      <c r="B22" s="7"/>
      <c r="C22" s="7"/>
      <c r="D22" s="7"/>
      <c r="E22" s="7"/>
      <c r="F22" s="7"/>
    </row>
    <row r="23" spans="1:7" x14ac:dyDescent="0.25">
      <c r="B23" s="4" t="s">
        <v>7</v>
      </c>
      <c r="C23" s="4" t="s">
        <v>82</v>
      </c>
      <c r="F23" s="4" t="s">
        <v>83</v>
      </c>
    </row>
    <row r="26" spans="1:7" ht="42" customHeight="1" x14ac:dyDescent="0.25">
      <c r="B26" s="4" t="s">
        <v>8</v>
      </c>
      <c r="C26" s="284" t="s">
        <v>84</v>
      </c>
      <c r="D26" s="284"/>
      <c r="F26" s="4" t="s">
        <v>85</v>
      </c>
    </row>
    <row r="28" spans="1:7" x14ac:dyDescent="0.25">
      <c r="B28" s="119" t="s">
        <v>37</v>
      </c>
      <c r="D28" s="8"/>
    </row>
  </sheetData>
  <mergeCells count="17">
    <mergeCell ref="B21:D21"/>
    <mergeCell ref="B14:D14"/>
    <mergeCell ref="E2:F2"/>
    <mergeCell ref="C26:D26"/>
    <mergeCell ref="B16:D16"/>
    <mergeCell ref="B18:D18"/>
    <mergeCell ref="B19:D19"/>
    <mergeCell ref="B20:D20"/>
    <mergeCell ref="B15:D15"/>
    <mergeCell ref="B17:D17"/>
    <mergeCell ref="A10:A13"/>
    <mergeCell ref="B10:D13"/>
    <mergeCell ref="E10:E13"/>
    <mergeCell ref="A6:F6"/>
    <mergeCell ref="A7:F7"/>
    <mergeCell ref="A8:F8"/>
    <mergeCell ref="F10:F1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9"/>
  <sheetViews>
    <sheetView topLeftCell="A7" workbookViewId="0">
      <selection activeCell="I14" sqref="I14:I16"/>
    </sheetView>
  </sheetViews>
  <sheetFormatPr defaultRowHeight="15" x14ac:dyDescent="0.25"/>
  <cols>
    <col min="1" max="1" width="9.42578125" style="237" customWidth="1"/>
    <col min="2" max="2" width="20" style="237" customWidth="1"/>
    <col min="3" max="3" width="48.140625" style="217" customWidth="1"/>
    <col min="4" max="4" width="17.5703125" style="217" customWidth="1"/>
    <col min="5" max="6" width="15.28515625" style="217" customWidth="1"/>
    <col min="7" max="7" width="14.7109375" style="217" customWidth="1"/>
    <col min="8" max="8" width="15" style="217" customWidth="1"/>
    <col min="9" max="9" width="15.28515625" style="217" customWidth="1"/>
    <col min="10" max="10" width="11.7109375" style="217" bestFit="1" customWidth="1"/>
    <col min="11" max="160" width="9.140625" style="217"/>
    <col min="161" max="161" width="5.140625" style="217" customWidth="1"/>
    <col min="162" max="162" width="12.42578125" style="217" customWidth="1"/>
    <col min="163" max="163" width="25.42578125" style="217" customWidth="1"/>
    <col min="164" max="168" width="10.28515625" style="217" customWidth="1"/>
    <col min="169" max="170" width="9.140625" style="217"/>
  </cols>
  <sheetData>
    <row r="1" spans="1:170" x14ac:dyDescent="0.25">
      <c r="A1" s="214"/>
      <c r="B1" s="214"/>
      <c r="C1" s="215"/>
      <c r="D1" s="215"/>
      <c r="E1" s="215"/>
      <c r="F1" s="215"/>
      <c r="G1" s="215"/>
      <c r="H1" s="216" t="s">
        <v>10</v>
      </c>
    </row>
    <row r="2" spans="1:170" x14ac:dyDescent="0.25">
      <c r="A2" s="214"/>
      <c r="B2" s="214"/>
      <c r="C2" s="215"/>
      <c r="D2" s="333" t="s">
        <v>122</v>
      </c>
      <c r="E2" s="333"/>
      <c r="F2" s="333"/>
      <c r="G2" s="333"/>
      <c r="H2" s="333"/>
    </row>
    <row r="3" spans="1:170" x14ac:dyDescent="0.25">
      <c r="A3" s="218"/>
      <c r="B3" s="219"/>
      <c r="C3" s="220"/>
      <c r="D3" s="333"/>
      <c r="E3" s="333"/>
      <c r="F3" s="333"/>
      <c r="G3" s="333"/>
      <c r="H3" s="333"/>
    </row>
    <row r="4" spans="1:170" x14ac:dyDescent="0.25">
      <c r="A4" s="218"/>
      <c r="B4" s="221"/>
      <c r="C4" s="222"/>
      <c r="D4" s="333"/>
      <c r="E4" s="333"/>
      <c r="F4" s="333"/>
      <c r="G4" s="333"/>
      <c r="H4" s="333"/>
    </row>
    <row r="5" spans="1:170" ht="32.25" customHeight="1" x14ac:dyDescent="0.25">
      <c r="A5" s="218"/>
      <c r="B5" s="221"/>
      <c r="C5" s="222"/>
      <c r="D5" s="223"/>
      <c r="E5" s="223"/>
      <c r="F5" s="223"/>
      <c r="G5" s="350" t="s">
        <v>81</v>
      </c>
      <c r="H5" s="350"/>
    </row>
    <row r="6" spans="1:170" ht="48" customHeight="1" x14ac:dyDescent="0.25">
      <c r="A6" s="334" t="s">
        <v>121</v>
      </c>
      <c r="B6" s="334"/>
      <c r="C6" s="334"/>
      <c r="D6" s="334"/>
      <c r="E6" s="334"/>
      <c r="F6" s="334"/>
      <c r="G6" s="334"/>
      <c r="H6" s="334"/>
    </row>
    <row r="7" spans="1:170" x14ac:dyDescent="0.25">
      <c r="A7" s="224"/>
      <c r="B7" s="221"/>
      <c r="C7" s="225"/>
      <c r="D7" s="225"/>
      <c r="E7" s="225"/>
      <c r="F7" s="225" t="s">
        <v>117</v>
      </c>
      <c r="G7" s="225"/>
      <c r="H7" s="225"/>
    </row>
    <row r="8" spans="1:170" ht="15.75" thickBot="1" x14ac:dyDescent="0.3">
      <c r="A8" s="335" t="s">
        <v>99</v>
      </c>
      <c r="B8" s="335"/>
      <c r="C8" s="335"/>
      <c r="D8" s="335"/>
      <c r="E8" s="335"/>
      <c r="F8" s="335"/>
      <c r="G8" s="335"/>
      <c r="H8" s="335"/>
    </row>
    <row r="9" spans="1:170" ht="15.75" thickBot="1" x14ac:dyDescent="0.3">
      <c r="A9" s="336" t="s">
        <v>100</v>
      </c>
      <c r="B9" s="338" t="s">
        <v>101</v>
      </c>
      <c r="C9" s="340" t="s">
        <v>25</v>
      </c>
      <c r="D9" s="342" t="s">
        <v>102</v>
      </c>
      <c r="E9" s="342"/>
      <c r="F9" s="342"/>
      <c r="G9" s="342"/>
      <c r="H9" s="343" t="s">
        <v>26</v>
      </c>
    </row>
    <row r="10" spans="1:170" ht="21.75" thickBot="1" x14ac:dyDescent="0.3">
      <c r="A10" s="337"/>
      <c r="B10" s="339"/>
      <c r="C10" s="341"/>
      <c r="D10" s="163" t="s">
        <v>103</v>
      </c>
      <c r="E10" s="164" t="s">
        <v>104</v>
      </c>
      <c r="F10" s="164" t="s">
        <v>105</v>
      </c>
      <c r="G10" s="165" t="s">
        <v>106</v>
      </c>
      <c r="H10" s="344"/>
    </row>
    <row r="11" spans="1:170" ht="15.75" thickBot="1" x14ac:dyDescent="0.3">
      <c r="A11" s="166">
        <v>1</v>
      </c>
      <c r="B11" s="167">
        <v>2</v>
      </c>
      <c r="C11" s="168">
        <v>3</v>
      </c>
      <c r="D11" s="169">
        <v>4</v>
      </c>
      <c r="E11" s="170">
        <v>5</v>
      </c>
      <c r="F11" s="265">
        <v>6</v>
      </c>
      <c r="G11" s="171">
        <v>7</v>
      </c>
      <c r="H11" s="172">
        <v>8</v>
      </c>
    </row>
    <row r="12" spans="1:170" x14ac:dyDescent="0.25">
      <c r="A12" s="351" t="s">
        <v>107</v>
      </c>
      <c r="B12" s="352"/>
      <c r="C12" s="353"/>
      <c r="D12" s="173"/>
      <c r="E12" s="174"/>
      <c r="F12" s="174"/>
      <c r="G12" s="174"/>
      <c r="H12" s="175"/>
    </row>
    <row r="13" spans="1:170" x14ac:dyDescent="0.25">
      <c r="A13" s="176"/>
      <c r="B13" s="177"/>
      <c r="C13" s="186"/>
      <c r="D13" s="262"/>
      <c r="E13" s="178"/>
      <c r="F13" s="178"/>
      <c r="G13" s="179"/>
      <c r="H13" s="180"/>
    </row>
    <row r="14" spans="1:170" x14ac:dyDescent="0.25">
      <c r="A14" s="354" t="s">
        <v>48</v>
      </c>
      <c r="B14" s="352"/>
      <c r="C14" s="353"/>
      <c r="D14" s="181"/>
      <c r="E14" s="182"/>
      <c r="F14" s="182"/>
      <c r="G14" s="182"/>
      <c r="H14" s="183"/>
    </row>
    <row r="15" spans="1:170" x14ac:dyDescent="0.25">
      <c r="A15" s="243">
        <v>1</v>
      </c>
      <c r="B15" s="9" t="s">
        <v>87</v>
      </c>
      <c r="C15" s="39" t="s">
        <v>94</v>
      </c>
      <c r="D15" s="263">
        <v>0</v>
      </c>
      <c r="E15" s="184">
        <v>15.882791185729277</v>
      </c>
      <c r="F15" s="184"/>
      <c r="G15" s="184"/>
      <c r="H15" s="185">
        <f>SUM(D15:G15)</f>
        <v>15.882791185729277</v>
      </c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226"/>
      <c r="Z15" s="226"/>
      <c r="AA15" s="226"/>
      <c r="AB15" s="226"/>
      <c r="AC15" s="226"/>
      <c r="AD15" s="226"/>
      <c r="AE15" s="226"/>
      <c r="AF15" s="226"/>
      <c r="AG15" s="226"/>
      <c r="AH15" s="226"/>
      <c r="AI15" s="226"/>
      <c r="AJ15" s="226"/>
      <c r="AK15" s="226"/>
      <c r="AL15" s="226"/>
      <c r="AM15" s="226"/>
      <c r="AN15" s="226"/>
      <c r="AO15" s="226"/>
      <c r="AP15" s="226"/>
      <c r="AQ15" s="226"/>
      <c r="AR15" s="226"/>
      <c r="AS15" s="226"/>
      <c r="AT15" s="226"/>
      <c r="AU15" s="226"/>
      <c r="AV15" s="226"/>
      <c r="AW15" s="226"/>
      <c r="AX15" s="226"/>
      <c r="AY15" s="226"/>
      <c r="AZ15" s="226"/>
      <c r="BA15" s="226"/>
      <c r="BB15" s="226"/>
      <c r="BC15" s="226"/>
      <c r="BD15" s="226"/>
      <c r="BE15" s="226"/>
      <c r="BF15" s="226"/>
      <c r="BG15" s="226"/>
      <c r="BH15" s="226"/>
      <c r="BI15" s="226"/>
      <c r="BJ15" s="226"/>
      <c r="BK15" s="226"/>
      <c r="BL15" s="226"/>
      <c r="BM15" s="226"/>
      <c r="BN15" s="226"/>
      <c r="BO15" s="226"/>
      <c r="BP15" s="226"/>
      <c r="BQ15" s="226"/>
      <c r="BR15" s="226"/>
      <c r="BS15" s="226"/>
      <c r="BT15" s="226"/>
      <c r="BU15" s="226"/>
      <c r="BV15" s="226"/>
      <c r="BW15" s="226"/>
      <c r="BX15" s="226"/>
      <c r="BY15" s="226"/>
      <c r="BZ15" s="226"/>
      <c r="CA15" s="226"/>
      <c r="CB15" s="226"/>
      <c r="CC15" s="226"/>
      <c r="CD15" s="226"/>
      <c r="CE15" s="226"/>
      <c r="CF15" s="226"/>
      <c r="CG15" s="226"/>
      <c r="CH15" s="226"/>
      <c r="CI15" s="226"/>
      <c r="CJ15" s="226"/>
      <c r="CK15" s="226"/>
      <c r="CL15" s="226"/>
      <c r="CM15" s="226"/>
      <c r="CN15" s="226"/>
      <c r="CO15" s="226"/>
      <c r="CP15" s="226"/>
      <c r="CQ15" s="226"/>
      <c r="CR15" s="226"/>
      <c r="CS15" s="226"/>
      <c r="CT15" s="226"/>
      <c r="CU15" s="226"/>
      <c r="CV15" s="226"/>
      <c r="CW15" s="226"/>
      <c r="CX15" s="226"/>
      <c r="CY15" s="226"/>
      <c r="CZ15" s="226"/>
      <c r="DA15" s="226"/>
      <c r="DB15" s="226"/>
      <c r="DC15" s="226"/>
      <c r="DD15" s="226"/>
      <c r="DE15" s="226"/>
      <c r="DF15" s="226"/>
      <c r="DG15" s="226"/>
      <c r="DH15" s="226"/>
      <c r="DI15" s="226"/>
      <c r="DJ15" s="226"/>
      <c r="DK15" s="226"/>
      <c r="DL15" s="226"/>
      <c r="DM15" s="226"/>
      <c r="DN15" s="226"/>
      <c r="DO15" s="226"/>
      <c r="DP15" s="226"/>
      <c r="DQ15" s="226"/>
      <c r="DR15" s="226"/>
      <c r="DS15" s="226"/>
      <c r="DT15" s="226"/>
      <c r="DU15" s="226"/>
      <c r="DV15" s="226"/>
      <c r="DW15" s="226"/>
      <c r="DX15" s="226"/>
      <c r="DY15" s="226"/>
      <c r="DZ15" s="226"/>
      <c r="EA15" s="226"/>
      <c r="EB15" s="226"/>
      <c r="EC15" s="226"/>
      <c r="ED15" s="226"/>
      <c r="EE15" s="226"/>
      <c r="EF15" s="226"/>
      <c r="EG15" s="226"/>
      <c r="EH15" s="226"/>
      <c r="EI15" s="226"/>
      <c r="EJ15" s="226"/>
      <c r="EK15" s="226"/>
      <c r="EL15" s="226"/>
      <c r="EM15" s="226"/>
      <c r="EN15" s="226"/>
      <c r="EO15" s="226"/>
      <c r="EP15" s="226"/>
      <c r="EQ15" s="226"/>
      <c r="ER15" s="226"/>
      <c r="ES15" s="226"/>
      <c r="ET15" s="226"/>
      <c r="EU15" s="226"/>
      <c r="EV15" s="226"/>
      <c r="EW15" s="226"/>
      <c r="EX15" s="226"/>
      <c r="EY15" s="226"/>
      <c r="EZ15" s="226"/>
      <c r="FA15" s="226"/>
      <c r="FB15" s="226"/>
      <c r="FC15" s="226"/>
      <c r="FD15" s="226"/>
      <c r="FE15" s="226"/>
      <c r="FF15" s="226"/>
      <c r="FG15" s="226"/>
      <c r="FH15" s="226"/>
      <c r="FI15" s="226"/>
      <c r="FJ15" s="226"/>
      <c r="FK15" s="226"/>
      <c r="FL15" s="226"/>
      <c r="FM15" s="226"/>
      <c r="FN15" s="226"/>
    </row>
    <row r="16" spans="1:170" x14ac:dyDescent="0.25">
      <c r="A16" s="244">
        <v>2</v>
      </c>
      <c r="B16" s="9" t="s">
        <v>87</v>
      </c>
      <c r="C16" s="39" t="s">
        <v>92</v>
      </c>
      <c r="D16" s="187">
        <v>1.8528856243441765</v>
      </c>
      <c r="E16" s="184">
        <v>36.143022035676807</v>
      </c>
      <c r="F16" s="184">
        <v>555.55555483870967</v>
      </c>
      <c r="G16" s="184"/>
      <c r="H16" s="185">
        <f>SUM(D16:G16)</f>
        <v>593.55146249873064</v>
      </c>
    </row>
    <row r="17" spans="1:170" x14ac:dyDescent="0.25">
      <c r="A17" s="244"/>
      <c r="B17" s="247"/>
      <c r="C17" s="248" t="s">
        <v>108</v>
      </c>
      <c r="D17" s="188">
        <f>SUM(D15:D16)</f>
        <v>1.8528856243441765</v>
      </c>
      <c r="E17" s="189">
        <f>SUM(E15:E16)</f>
        <v>52.025813221406082</v>
      </c>
      <c r="F17" s="189">
        <f>SUM(F15:F16)</f>
        <v>555.55555483870967</v>
      </c>
      <c r="G17" s="189">
        <f>SUM(G15:G16)</f>
        <v>0</v>
      </c>
      <c r="H17" s="190">
        <f>SUM(H15:H16)</f>
        <v>609.43425368445992</v>
      </c>
    </row>
    <row r="18" spans="1:170" x14ac:dyDescent="0.25">
      <c r="A18" s="355" t="s">
        <v>27</v>
      </c>
      <c r="B18" s="356"/>
      <c r="C18" s="357"/>
      <c r="D18" s="194"/>
      <c r="E18" s="195"/>
      <c r="F18" s="195"/>
      <c r="G18" s="195"/>
      <c r="H18" s="196"/>
    </row>
    <row r="19" spans="1:170" x14ac:dyDescent="0.25">
      <c r="A19" s="245">
        <v>3</v>
      </c>
      <c r="B19" s="9" t="s">
        <v>87</v>
      </c>
      <c r="C19" s="39" t="s">
        <v>52</v>
      </c>
      <c r="D19" s="191"/>
      <c r="E19" s="192"/>
      <c r="F19" s="192"/>
      <c r="G19" s="192">
        <v>24.459309999999999</v>
      </c>
      <c r="H19" s="193">
        <f>SUM(D19:G19)</f>
        <v>24.459309999999999</v>
      </c>
    </row>
    <row r="20" spans="1:170" x14ac:dyDescent="0.25">
      <c r="A20" s="246">
        <v>4</v>
      </c>
      <c r="B20" s="9" t="s">
        <v>87</v>
      </c>
      <c r="C20" s="39" t="s">
        <v>53</v>
      </c>
      <c r="D20" s="191"/>
      <c r="E20" s="192"/>
      <c r="F20" s="192"/>
      <c r="G20" s="192">
        <v>4.5058800000000003</v>
      </c>
      <c r="H20" s="193">
        <f>SUM(D20:G20)</f>
        <v>4.5058800000000003</v>
      </c>
    </row>
    <row r="21" spans="1:170" x14ac:dyDescent="0.25">
      <c r="A21" s="246"/>
      <c r="B21" s="249"/>
      <c r="C21" s="248" t="s">
        <v>109</v>
      </c>
      <c r="D21" s="191">
        <f>SUM(D19:D20)</f>
        <v>0</v>
      </c>
      <c r="E21" s="192">
        <f>SUM(E19:E20)</f>
        <v>0</v>
      </c>
      <c r="F21" s="192">
        <f>SUM(F19:F20)</f>
        <v>0</v>
      </c>
      <c r="G21" s="192">
        <f>SUM(G19:G20)</f>
        <v>28.96519</v>
      </c>
      <c r="H21" s="193">
        <f>SUM(D21:G21)</f>
        <v>28.96519</v>
      </c>
    </row>
    <row r="22" spans="1:170" x14ac:dyDescent="0.25">
      <c r="A22" s="245"/>
      <c r="B22" s="250"/>
      <c r="C22" s="248" t="s">
        <v>110</v>
      </c>
      <c r="D22" s="197">
        <f>D17+D21</f>
        <v>1.8528856243441765</v>
      </c>
      <c r="E22" s="198">
        <f>E17+E21</f>
        <v>52.025813221406082</v>
      </c>
      <c r="F22" s="198">
        <f>F17+F21</f>
        <v>555.55555483870967</v>
      </c>
      <c r="G22" s="198">
        <f>G17+G21</f>
        <v>28.96519</v>
      </c>
      <c r="H22" s="190">
        <f>SUM(D22:G22)</f>
        <v>638.39944368445992</v>
      </c>
    </row>
    <row r="23" spans="1:170" x14ac:dyDescent="0.25">
      <c r="A23" s="245">
        <v>5</v>
      </c>
      <c r="B23" s="251" t="s">
        <v>111</v>
      </c>
      <c r="C23" s="39" t="s">
        <v>112</v>
      </c>
      <c r="D23" s="191">
        <f>D22*1.5%</f>
        <v>2.7793284365162645E-2</v>
      </c>
      <c r="E23" s="192">
        <f>E22*1.5%</f>
        <v>0.78038719832109116</v>
      </c>
      <c r="F23" s="192">
        <f>F22*1.5%</f>
        <v>8.3333333225806445</v>
      </c>
      <c r="G23" s="192">
        <f>G22*1.5%</f>
        <v>0.43447785</v>
      </c>
      <c r="H23" s="199">
        <f>SUM(D23:G23)</f>
        <v>9.5759916552668987</v>
      </c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O23" s="226"/>
      <c r="AP23" s="226"/>
      <c r="AQ23" s="226"/>
      <c r="AR23" s="226"/>
      <c r="AS23" s="226"/>
      <c r="AT23" s="226"/>
      <c r="AU23" s="226"/>
      <c r="AV23" s="226"/>
      <c r="AW23" s="226"/>
      <c r="AX23" s="226"/>
      <c r="AY23" s="226"/>
      <c r="AZ23" s="226"/>
      <c r="BA23" s="226"/>
      <c r="BB23" s="226"/>
      <c r="BC23" s="226"/>
      <c r="BD23" s="226"/>
      <c r="BE23" s="226"/>
      <c r="BF23" s="226"/>
      <c r="BG23" s="226"/>
      <c r="BH23" s="226"/>
      <c r="BI23" s="226"/>
      <c r="BJ23" s="226"/>
      <c r="BK23" s="226"/>
      <c r="BL23" s="226"/>
      <c r="BM23" s="226"/>
      <c r="BN23" s="226"/>
      <c r="BO23" s="226"/>
      <c r="BP23" s="226"/>
      <c r="BQ23" s="226"/>
      <c r="BR23" s="226"/>
      <c r="BS23" s="226"/>
      <c r="BT23" s="226"/>
      <c r="BU23" s="226"/>
      <c r="BV23" s="226"/>
      <c r="BW23" s="226"/>
      <c r="BX23" s="226"/>
      <c r="BY23" s="226"/>
      <c r="BZ23" s="226"/>
      <c r="CA23" s="226"/>
      <c r="CB23" s="226"/>
      <c r="CC23" s="226"/>
      <c r="CD23" s="226"/>
      <c r="CE23" s="226"/>
      <c r="CF23" s="226"/>
      <c r="CG23" s="226"/>
      <c r="CH23" s="226"/>
      <c r="CI23" s="226"/>
      <c r="CJ23" s="226"/>
      <c r="CK23" s="226"/>
      <c r="CL23" s="226"/>
      <c r="CM23" s="226"/>
      <c r="CN23" s="226"/>
      <c r="CO23" s="226"/>
      <c r="CP23" s="226"/>
      <c r="CQ23" s="226"/>
      <c r="CR23" s="226"/>
      <c r="CS23" s="226"/>
      <c r="CT23" s="226"/>
      <c r="CU23" s="226"/>
      <c r="CV23" s="226"/>
      <c r="CW23" s="226"/>
      <c r="CX23" s="226"/>
      <c r="CY23" s="226"/>
      <c r="CZ23" s="226"/>
      <c r="DA23" s="226"/>
      <c r="DB23" s="226"/>
      <c r="DC23" s="226"/>
      <c r="DD23" s="226"/>
      <c r="DE23" s="226"/>
      <c r="DF23" s="226"/>
      <c r="DG23" s="226"/>
      <c r="DH23" s="226"/>
      <c r="DI23" s="226"/>
      <c r="DJ23" s="226"/>
      <c r="DK23" s="226"/>
      <c r="DL23" s="226"/>
      <c r="DM23" s="226"/>
      <c r="DN23" s="226"/>
      <c r="DO23" s="226"/>
      <c r="DP23" s="226"/>
      <c r="DQ23" s="226"/>
      <c r="DR23" s="226"/>
      <c r="DS23" s="226"/>
      <c r="DT23" s="226"/>
      <c r="DU23" s="226"/>
      <c r="DV23" s="226"/>
      <c r="DW23" s="226"/>
      <c r="DX23" s="226"/>
      <c r="DY23" s="226"/>
      <c r="DZ23" s="226"/>
      <c r="EA23" s="226"/>
      <c r="EB23" s="226"/>
      <c r="EC23" s="226"/>
      <c r="ED23" s="226"/>
      <c r="EE23" s="226"/>
      <c r="EF23" s="226"/>
      <c r="EG23" s="226"/>
      <c r="EH23" s="226"/>
      <c r="EI23" s="226"/>
      <c r="EJ23" s="226"/>
      <c r="EK23" s="226"/>
      <c r="EL23" s="226"/>
      <c r="EM23" s="226"/>
      <c r="EN23" s="226"/>
      <c r="EO23" s="226"/>
      <c r="EP23" s="226"/>
      <c r="EQ23" s="226"/>
      <c r="ER23" s="226"/>
      <c r="ES23" s="226"/>
      <c r="ET23" s="226"/>
      <c r="EU23" s="226"/>
      <c r="EV23" s="226"/>
      <c r="EW23" s="226"/>
      <c r="EX23" s="226"/>
      <c r="EY23" s="226"/>
      <c r="EZ23" s="226"/>
      <c r="FA23" s="226"/>
      <c r="FB23" s="226"/>
      <c r="FC23" s="226"/>
      <c r="FD23" s="226"/>
      <c r="FE23" s="226"/>
      <c r="FF23" s="226"/>
      <c r="FG23" s="226"/>
      <c r="FH23" s="226"/>
      <c r="FI23" s="226"/>
      <c r="FJ23" s="226"/>
      <c r="FK23" s="226"/>
      <c r="FL23" s="226"/>
      <c r="FM23" s="226"/>
      <c r="FN23" s="226"/>
    </row>
    <row r="24" spans="1:170" x14ac:dyDescent="0.25">
      <c r="A24" s="245"/>
      <c r="B24" s="252"/>
      <c r="C24" s="253" t="s">
        <v>113</v>
      </c>
      <c r="D24" s="197">
        <f>D22+D23</f>
        <v>1.8806789087093392</v>
      </c>
      <c r="E24" s="198">
        <f>E22+E23</f>
        <v>52.806200419727176</v>
      </c>
      <c r="F24" s="198">
        <f>F22+F23</f>
        <v>563.88888816129031</v>
      </c>
      <c r="G24" s="198">
        <f>G22+G23</f>
        <v>29.39966785</v>
      </c>
      <c r="H24" s="200">
        <f>ROUNDDOWN(SUM(D24:G24),5)</f>
        <v>647.97542999999996</v>
      </c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6"/>
      <c r="Z24" s="226"/>
      <c r="AA24" s="226"/>
      <c r="AB24" s="226"/>
      <c r="AC24" s="226"/>
      <c r="AD24" s="226"/>
      <c r="AE24" s="226"/>
      <c r="AF24" s="226"/>
      <c r="AG24" s="226"/>
      <c r="AH24" s="226"/>
      <c r="AI24" s="226"/>
      <c r="AJ24" s="226"/>
      <c r="AK24" s="226"/>
      <c r="AL24" s="226"/>
      <c r="AM24" s="226"/>
      <c r="AN24" s="226"/>
      <c r="AO24" s="226"/>
      <c r="AP24" s="226"/>
      <c r="AQ24" s="226"/>
      <c r="AR24" s="226"/>
      <c r="AS24" s="226"/>
      <c r="AT24" s="226"/>
      <c r="AU24" s="226"/>
      <c r="AV24" s="226"/>
      <c r="AW24" s="226"/>
      <c r="AX24" s="226"/>
      <c r="AY24" s="226"/>
      <c r="AZ24" s="226"/>
      <c r="BA24" s="226"/>
      <c r="BB24" s="226"/>
      <c r="BC24" s="226"/>
      <c r="BD24" s="226"/>
      <c r="BE24" s="226"/>
      <c r="BF24" s="226"/>
      <c r="BG24" s="226"/>
      <c r="BH24" s="226"/>
      <c r="BI24" s="226"/>
      <c r="BJ24" s="226"/>
      <c r="BK24" s="226"/>
      <c r="BL24" s="226"/>
      <c r="BM24" s="226"/>
      <c r="BN24" s="226"/>
      <c r="BO24" s="226"/>
      <c r="BP24" s="226"/>
      <c r="BQ24" s="226"/>
      <c r="BR24" s="226"/>
      <c r="BS24" s="226"/>
      <c r="BT24" s="226"/>
      <c r="BU24" s="226"/>
      <c r="BV24" s="226"/>
      <c r="BW24" s="226"/>
      <c r="BX24" s="226"/>
      <c r="BY24" s="226"/>
      <c r="BZ24" s="226"/>
      <c r="CA24" s="226"/>
      <c r="CB24" s="226"/>
      <c r="CC24" s="226"/>
      <c r="CD24" s="226"/>
      <c r="CE24" s="226"/>
      <c r="CF24" s="226"/>
      <c r="CG24" s="226"/>
      <c r="CH24" s="226"/>
      <c r="CI24" s="226"/>
      <c r="CJ24" s="226"/>
      <c r="CK24" s="226"/>
      <c r="CL24" s="226"/>
      <c r="CM24" s="226"/>
      <c r="CN24" s="226"/>
      <c r="CO24" s="226"/>
      <c r="CP24" s="226"/>
      <c r="CQ24" s="226"/>
      <c r="CR24" s="226"/>
      <c r="CS24" s="226"/>
      <c r="CT24" s="226"/>
      <c r="CU24" s="226"/>
      <c r="CV24" s="226"/>
      <c r="CW24" s="226"/>
      <c r="CX24" s="226"/>
      <c r="CY24" s="226"/>
      <c r="CZ24" s="226"/>
      <c r="DA24" s="226"/>
      <c r="DB24" s="226"/>
      <c r="DC24" s="226"/>
      <c r="DD24" s="226"/>
      <c r="DE24" s="226"/>
      <c r="DF24" s="226"/>
      <c r="DG24" s="226"/>
      <c r="DH24" s="226"/>
      <c r="DI24" s="226"/>
      <c r="DJ24" s="226"/>
      <c r="DK24" s="226"/>
      <c r="DL24" s="226"/>
      <c r="DM24" s="226"/>
      <c r="DN24" s="226"/>
      <c r="DO24" s="226"/>
      <c r="DP24" s="226"/>
      <c r="DQ24" s="226"/>
      <c r="DR24" s="226"/>
      <c r="DS24" s="226"/>
      <c r="DT24" s="226"/>
      <c r="DU24" s="226"/>
      <c r="DV24" s="226"/>
      <c r="DW24" s="226"/>
      <c r="DX24" s="226"/>
      <c r="DY24" s="226"/>
      <c r="DZ24" s="226"/>
      <c r="EA24" s="226"/>
      <c r="EB24" s="226"/>
      <c r="EC24" s="226"/>
      <c r="ED24" s="226"/>
      <c r="EE24" s="226"/>
      <c r="EF24" s="226"/>
      <c r="EG24" s="226"/>
      <c r="EH24" s="226"/>
      <c r="EI24" s="226"/>
      <c r="EJ24" s="226"/>
      <c r="EK24" s="226"/>
      <c r="EL24" s="226"/>
      <c r="EM24" s="226"/>
      <c r="EN24" s="226"/>
      <c r="EO24" s="226"/>
      <c r="EP24" s="226"/>
      <c r="EQ24" s="226"/>
      <c r="ER24" s="226"/>
      <c r="ES24" s="226"/>
      <c r="ET24" s="226"/>
      <c r="EU24" s="226"/>
      <c r="EV24" s="226"/>
      <c r="EW24" s="226"/>
      <c r="EX24" s="226"/>
      <c r="EY24" s="226"/>
      <c r="EZ24" s="226"/>
      <c r="FA24" s="226"/>
      <c r="FB24" s="226"/>
      <c r="FC24" s="226"/>
      <c r="FD24" s="226"/>
      <c r="FE24" s="226"/>
      <c r="FF24" s="226"/>
      <c r="FG24" s="226"/>
      <c r="FH24" s="226"/>
      <c r="FI24" s="226"/>
      <c r="FJ24" s="226"/>
      <c r="FK24" s="226"/>
      <c r="FL24" s="226"/>
      <c r="FM24" s="226"/>
      <c r="FN24" s="226"/>
    </row>
    <row r="25" spans="1:170" x14ac:dyDescent="0.25">
      <c r="A25" s="254"/>
      <c r="B25" s="255"/>
      <c r="C25" s="256" t="s">
        <v>127</v>
      </c>
      <c r="D25" s="201"/>
      <c r="E25" s="202"/>
      <c r="F25" s="202"/>
      <c r="G25" s="205">
        <v>17.18</v>
      </c>
      <c r="H25" s="203"/>
    </row>
    <row r="26" spans="1:170" x14ac:dyDescent="0.25">
      <c r="A26" s="254"/>
      <c r="B26" s="255"/>
      <c r="C26" s="264" t="s">
        <v>128</v>
      </c>
      <c r="D26" s="204">
        <v>9.68</v>
      </c>
      <c r="E26" s="205">
        <v>9.68</v>
      </c>
      <c r="F26" s="205">
        <v>4.71</v>
      </c>
      <c r="G26" s="205">
        <v>9.3000000000000007</v>
      </c>
      <c r="H26" s="203"/>
    </row>
    <row r="27" spans="1:170" x14ac:dyDescent="0.25">
      <c r="A27" s="254"/>
      <c r="B27" s="255"/>
      <c r="C27" s="258" t="s">
        <v>114</v>
      </c>
      <c r="D27" s="206">
        <f>SUM(D24*D26)</f>
        <v>18.204971836306402</v>
      </c>
      <c r="E27" s="207">
        <f>SUM(E24*E26)</f>
        <v>511.16402006295903</v>
      </c>
      <c r="F27" s="207">
        <f>SUM(F24*F26)</f>
        <v>2655.9166632396773</v>
      </c>
      <c r="G27" s="207">
        <f>G19*1.015*G25+G20*1.015*G26</f>
        <v>469.0473642469999</v>
      </c>
      <c r="H27" s="208">
        <f>ROUNDDOWN(SUM(D27:G27),5)</f>
        <v>3654.3330099999998</v>
      </c>
    </row>
    <row r="28" spans="1:170" ht="26.25" x14ac:dyDescent="0.25">
      <c r="A28" s="254"/>
      <c r="B28" s="257" t="s">
        <v>5</v>
      </c>
      <c r="C28" s="258" t="s">
        <v>123</v>
      </c>
      <c r="D28" s="209">
        <v>1.04</v>
      </c>
      <c r="E28" s="210">
        <v>1.04</v>
      </c>
      <c r="F28" s="210">
        <f>E28</f>
        <v>1.04</v>
      </c>
      <c r="G28" s="210">
        <f>F28</f>
        <v>1.04</v>
      </c>
      <c r="H28" s="200"/>
    </row>
    <row r="29" spans="1:170" ht="26.25" x14ac:dyDescent="0.25">
      <c r="A29" s="254"/>
      <c r="B29" s="257"/>
      <c r="C29" s="258" t="s">
        <v>124</v>
      </c>
      <c r="D29" s="197">
        <f>D27*D28</f>
        <v>18.933170709758659</v>
      </c>
      <c r="E29" s="198">
        <f>E27*E28</f>
        <v>531.61058086547746</v>
      </c>
      <c r="F29" s="198">
        <f>F27*F28</f>
        <v>2762.1533297692645</v>
      </c>
      <c r="G29" s="198">
        <f>G27*G28</f>
        <v>487.80925881687989</v>
      </c>
      <c r="H29" s="200">
        <f>SUM(D29:G29)</f>
        <v>3800.5063401613802</v>
      </c>
    </row>
    <row r="30" spans="1:170" x14ac:dyDescent="0.25">
      <c r="A30" s="254"/>
      <c r="B30" s="257"/>
      <c r="C30" s="258" t="s">
        <v>115</v>
      </c>
      <c r="D30" s="191">
        <f>D29*20%</f>
        <v>3.786634141951732</v>
      </c>
      <c r="E30" s="192">
        <f>E29*20%</f>
        <v>106.32211617309549</v>
      </c>
      <c r="F30" s="192">
        <f>F29*20%</f>
        <v>552.43066595385289</v>
      </c>
      <c r="G30" s="192">
        <f>G29*20%</f>
        <v>97.561851763375984</v>
      </c>
      <c r="H30" s="199">
        <f>SUM(D30:G30)</f>
        <v>760.10126803227615</v>
      </c>
    </row>
    <row r="31" spans="1:170" ht="27" thickBot="1" x14ac:dyDescent="0.3">
      <c r="A31" s="259"/>
      <c r="B31" s="260"/>
      <c r="C31" s="261" t="s">
        <v>116</v>
      </c>
      <c r="D31" s="211">
        <f>D29+D30</f>
        <v>22.719804851710393</v>
      </c>
      <c r="E31" s="212">
        <f>E29+E30</f>
        <v>637.932697038573</v>
      </c>
      <c r="F31" s="212">
        <f>F29+F30</f>
        <v>3314.5839957231174</v>
      </c>
      <c r="G31" s="212">
        <f>G29+G30</f>
        <v>585.37111058025584</v>
      </c>
      <c r="H31" s="213">
        <f>SUM(D31:G31)</f>
        <v>4560.6076081936571</v>
      </c>
    </row>
    <row r="32" spans="1:170" x14ac:dyDescent="0.25">
      <c r="A32" s="227" t="s">
        <v>5</v>
      </c>
      <c r="B32" s="228" t="s">
        <v>5</v>
      </c>
      <c r="C32" s="229" t="s">
        <v>118</v>
      </c>
      <c r="D32" s="345" t="s">
        <v>5</v>
      </c>
      <c r="E32" s="346"/>
      <c r="F32" s="347" t="s">
        <v>5</v>
      </c>
      <c r="G32" s="348"/>
      <c r="H32" s="348"/>
    </row>
    <row r="33" spans="1:9" ht="15.75" x14ac:dyDescent="0.25">
      <c r="A33" s="227"/>
      <c r="B33" s="230" t="s">
        <v>119</v>
      </c>
      <c r="C33" s="231"/>
      <c r="D33" s="232"/>
      <c r="E33" s="233"/>
      <c r="F33" s="233"/>
      <c r="G33" s="233"/>
      <c r="H33" s="233"/>
    </row>
    <row r="34" spans="1:9" ht="15.75" x14ac:dyDescent="0.25">
      <c r="A34" s="234"/>
      <c r="B34" s="232" t="s">
        <v>120</v>
      </c>
      <c r="C34" s="232"/>
      <c r="D34" s="232"/>
    </row>
    <row r="35" spans="1:9" x14ac:dyDescent="0.25">
      <c r="A35" s="234"/>
      <c r="B35" s="235"/>
      <c r="C35" s="236"/>
      <c r="D35" s="236"/>
    </row>
    <row r="36" spans="1:9" x14ac:dyDescent="0.25">
      <c r="B36" s="238"/>
      <c r="C36" s="233"/>
      <c r="D36" s="233"/>
      <c r="E36" s="233"/>
      <c r="F36" s="233"/>
      <c r="G36" s="233"/>
      <c r="H36" s="233"/>
    </row>
    <row r="37" spans="1:9" x14ac:dyDescent="0.25">
      <c r="B37" s="349" t="s">
        <v>125</v>
      </c>
      <c r="C37" s="349"/>
      <c r="D37" s="349"/>
      <c r="E37" s="349"/>
      <c r="F37" s="349"/>
      <c r="G37" s="349"/>
      <c r="H37" s="349"/>
      <c r="I37" s="349"/>
    </row>
    <row r="38" spans="1:9" x14ac:dyDescent="0.25">
      <c r="B38" s="239"/>
      <c r="C38" s="240"/>
      <c r="D38" s="240"/>
      <c r="E38" s="240"/>
      <c r="F38" s="240"/>
      <c r="G38" s="240"/>
      <c r="H38" s="240"/>
      <c r="I38" s="240"/>
    </row>
    <row r="39" spans="1:9" ht="15.75" x14ac:dyDescent="0.25">
      <c r="B39" s="241"/>
      <c r="C39" s="242"/>
      <c r="D39" s="242"/>
      <c r="E39" s="242"/>
      <c r="F39" s="232"/>
      <c r="H39" s="232"/>
    </row>
  </sheetData>
  <mergeCells count="15">
    <mergeCell ref="D32:E32"/>
    <mergeCell ref="F32:H32"/>
    <mergeCell ref="B37:I37"/>
    <mergeCell ref="G5:H5"/>
    <mergeCell ref="A12:C12"/>
    <mergeCell ref="A14:C14"/>
    <mergeCell ref="A18:C18"/>
    <mergeCell ref="D2:H4"/>
    <mergeCell ref="A6:H6"/>
    <mergeCell ref="A8:H8"/>
    <mergeCell ref="A9:A10"/>
    <mergeCell ref="B9:B10"/>
    <mergeCell ref="C9:C10"/>
    <mergeCell ref="D9:G9"/>
    <mergeCell ref="H9:H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Сводка затрат</vt:lpstr>
      <vt:lpstr>НМЦ лота "под ключ"</vt:lpstr>
      <vt:lpstr>НМЦ лота на ПИР</vt:lpstr>
      <vt:lpstr>НМЦ лот на СМР</vt:lpstr>
      <vt:lpstr>'Сводка затрат'!Область_печати</vt:lpstr>
    </vt:vector>
  </TitlesOfParts>
  <Company>Komienergo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Пирковская Елена Григорьевна</dc:creator>
  <cp:lastModifiedBy>Сверчкова Оксана Григорьевна</cp:lastModifiedBy>
  <dcterms:created xsi:type="dcterms:W3CDTF">2018-11-01T13:51:15Z</dcterms:created>
  <dcterms:modified xsi:type="dcterms:W3CDTF">2021-03-16T05:31:40Z</dcterms:modified>
</cp:coreProperties>
</file>